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185" windowWidth="14055" windowHeight="2745" activeTab="1"/>
  </bookViews>
  <sheets>
    <sheet name="Sheet6" sheetId="6" r:id="rId1"/>
    <sheet name="Sheet1" sheetId="1" r:id="rId2"/>
    <sheet name="Sheet2" sheetId="2" r:id="rId3"/>
    <sheet name="Sheet3" sheetId="3" r:id="rId4"/>
    <sheet name="Sheet4" sheetId="4" r:id="rId5"/>
    <sheet name="Sheet5" sheetId="5" r:id="rId6"/>
  </sheets>
  <calcPr calcId="145621"/>
</workbook>
</file>

<file path=xl/calcChain.xml><?xml version="1.0" encoding="utf-8"?>
<calcChain xmlns="http://schemas.openxmlformats.org/spreadsheetml/2006/main">
  <c r="F108" i="1" l="1"/>
  <c r="G118" i="1"/>
  <c r="F52" i="1"/>
  <c r="G287" i="1"/>
  <c r="G240" i="1" l="1"/>
  <c r="G239" i="1"/>
  <c r="G221" i="1"/>
  <c r="G298" i="1"/>
  <c r="G297" i="1"/>
  <c r="G211" i="1"/>
  <c r="G328" i="1"/>
  <c r="F107" i="1"/>
  <c r="F97" i="1"/>
  <c r="G114" i="1"/>
  <c r="F51" i="1" l="1"/>
  <c r="F96" i="1" l="1"/>
  <c r="F56" i="1"/>
  <c r="G322" i="1"/>
  <c r="G272" i="1"/>
  <c r="G253" i="1"/>
  <c r="I141" i="1" l="1"/>
  <c r="I287" i="1"/>
  <c r="I281" i="1"/>
  <c r="I267" i="1"/>
  <c r="I260" i="1"/>
  <c r="I249" i="1"/>
  <c r="I240" i="1"/>
  <c r="I235" i="1"/>
  <c r="I217" i="1"/>
  <c r="I211" i="1"/>
  <c r="G235" i="1" l="1"/>
  <c r="I328" i="1" l="1"/>
  <c r="G187" i="1" l="1"/>
  <c r="G307" i="1" l="1"/>
  <c r="G260" i="1" l="1"/>
  <c r="G267" i="1" l="1"/>
  <c r="G281" i="1"/>
  <c r="G217" i="1" l="1"/>
  <c r="G194" i="1"/>
  <c r="G18" i="1" l="1"/>
  <c r="G124" i="1" l="1"/>
  <c r="G7" i="1" l="1"/>
  <c r="G316" i="1" l="1"/>
  <c r="G293" i="1" l="1"/>
  <c r="G249" i="1"/>
  <c r="G126" i="1" l="1"/>
  <c r="G125" i="1"/>
  <c r="G93" i="1" l="1"/>
  <c r="G101" i="1" l="1"/>
  <c r="G309" i="1" l="1"/>
  <c r="G65" i="1" l="1"/>
  <c r="G140" i="1"/>
  <c r="G129" i="1"/>
  <c r="G121" i="1"/>
  <c r="G111" i="1"/>
  <c r="G123" i="1" l="1"/>
  <c r="G127" i="1" s="1"/>
  <c r="G130" i="1" s="1"/>
  <c r="G141" i="1" l="1"/>
</calcChain>
</file>

<file path=xl/sharedStrings.xml><?xml version="1.0" encoding="utf-8"?>
<sst xmlns="http://schemas.openxmlformats.org/spreadsheetml/2006/main" count="310" uniqueCount="171">
  <si>
    <t>(SUSQUEHANNA CHECKING)</t>
  </si>
  <si>
    <t xml:space="preserve">1. GENERAL </t>
  </si>
  <si>
    <t>TAXES:</t>
  </si>
  <si>
    <t>Earned Income</t>
  </si>
  <si>
    <t>Local Service</t>
  </si>
  <si>
    <t>Delinquent Real Estate</t>
  </si>
  <si>
    <t>Delinquent Personal</t>
  </si>
  <si>
    <t>Realty Transfer</t>
  </si>
  <si>
    <t>Tax Collector-General</t>
  </si>
  <si>
    <t>Tax Collector-Debt Services</t>
  </si>
  <si>
    <t>Tax Collector-Fire</t>
  </si>
  <si>
    <t>Tax Collector-Street Lights</t>
  </si>
  <si>
    <t>Tax Collector-Per Capita</t>
  </si>
  <si>
    <t>Tax Collector-Occupation</t>
  </si>
  <si>
    <t>Coal Royalty</t>
  </si>
  <si>
    <t>PURTA/Public Utility</t>
  </si>
  <si>
    <t>TOTAL TAXES</t>
  </si>
  <si>
    <t xml:space="preserve">PERMITS: </t>
  </si>
  <si>
    <t>Township Building Permits</t>
  </si>
  <si>
    <t>County Court Costs</t>
  </si>
  <si>
    <t>District Justice</t>
  </si>
  <si>
    <t>TOTAL FINES, PENALTIES AND LICENSES</t>
  </si>
  <si>
    <t>FINES, PENALTIES AND LICENSES:</t>
  </si>
  <si>
    <t>1. GENERAL CONTINUED:</t>
  </si>
  <si>
    <t>North Central Roving Patrols</t>
  </si>
  <si>
    <t>TOTAL ADD'L GENERAL</t>
  </si>
  <si>
    <t>Total Revenue</t>
  </si>
  <si>
    <t>Deposited to Debt Service</t>
  </si>
  <si>
    <t>Deposited to Fire Fund</t>
  </si>
  <si>
    <t>Deposited to Street Lights</t>
  </si>
  <si>
    <t>Total Adjusted Revenue</t>
  </si>
  <si>
    <t>Balance as of December 31, 2010</t>
  </si>
  <si>
    <t>Balance as of January 31, 2011</t>
  </si>
  <si>
    <t>TOTAL EXPENSES</t>
  </si>
  <si>
    <t>Revenue:</t>
  </si>
  <si>
    <t>Trash Bags Sold</t>
  </si>
  <si>
    <t>Bulk</t>
  </si>
  <si>
    <t>Expenses:</t>
  </si>
  <si>
    <t>Check #</t>
  </si>
  <si>
    <t>Interest</t>
  </si>
  <si>
    <t>6.DEBT SERVICE</t>
  </si>
  <si>
    <t>7. STREET LIGHTS</t>
  </si>
  <si>
    <t>8. FIRE FUND</t>
  </si>
  <si>
    <t>9. SEDA COG</t>
  </si>
  <si>
    <t>Paid Bills</t>
  </si>
  <si>
    <t>State Parks</t>
  </si>
  <si>
    <t>PERMITS:</t>
  </si>
  <si>
    <t>O/L</t>
  </si>
  <si>
    <t>Youthful Offender</t>
  </si>
  <si>
    <t>Aqua PA</t>
  </si>
  <si>
    <t>ACH Deposits</t>
  </si>
  <si>
    <t>(BB&amp;T CHECKING)</t>
  </si>
  <si>
    <t>1. A. GENERAL MONEY MARKET(UNB)</t>
  </si>
  <si>
    <t>4. DEN MAR ESCROW(UNB)</t>
  </si>
  <si>
    <t>3.A.  WASTE WATER MONEY MARKET(UNB)</t>
  </si>
  <si>
    <t>3. WASTE WATER(UNB)</t>
  </si>
  <si>
    <t>2.A.  LIQUID FUELS MONEY MARKET(UNB)</t>
  </si>
  <si>
    <t>2.  LIQUID FUELS (UNB)</t>
  </si>
  <si>
    <t>5. STREET LIGHTS(UNB)</t>
  </si>
  <si>
    <t>5. A. STREET LIGHTS MONEY MARKET(UNB)</t>
  </si>
  <si>
    <t>6. FIRE FUND(UNB)</t>
  </si>
  <si>
    <t>6. A. FIRE FUND MONEY MARKET(UNB)</t>
  </si>
  <si>
    <t>7. SEDA-COG(UNB)</t>
  </si>
  <si>
    <t>(UNB CHECKING)</t>
  </si>
  <si>
    <t>Marion Heights Police Protection</t>
  </si>
  <si>
    <t>o/l</t>
  </si>
  <si>
    <t>Employees</t>
  </si>
  <si>
    <t>8. REFUSE(UNB)</t>
  </si>
  <si>
    <t>TOTAL OTHER  PERMITS</t>
  </si>
  <si>
    <t>PPL</t>
  </si>
  <si>
    <t>State Police</t>
  </si>
  <si>
    <t>Quality of Life Violations-</t>
  </si>
  <si>
    <t xml:space="preserve">Revenue: </t>
  </si>
  <si>
    <t>Road Opening-</t>
  </si>
  <si>
    <t>Soliciting-</t>
  </si>
  <si>
    <t>Fingerprinting-</t>
  </si>
  <si>
    <t>9. MT CARMEL TOWNSHIP ESCROW(UNB)</t>
  </si>
  <si>
    <t>Transfer to LF</t>
  </si>
  <si>
    <t>Dumpster-</t>
  </si>
  <si>
    <t>Zoning Permit-</t>
  </si>
  <si>
    <t>Google</t>
  </si>
  <si>
    <t>10. DEBT SERVICE(UNB)</t>
  </si>
  <si>
    <t>Handicapped Parking</t>
  </si>
  <si>
    <t>Berkheimer</t>
  </si>
  <si>
    <t>1. DEBT SERVICE MONEY MARKET(BB&amp;T)</t>
  </si>
  <si>
    <t xml:space="preserve">2. SEDA-COG </t>
  </si>
  <si>
    <t>bb&amp;t service charge</t>
  </si>
  <si>
    <t>GBA Premium</t>
  </si>
  <si>
    <t>Transfer from</t>
  </si>
  <si>
    <t xml:space="preserve">Transfer to </t>
  </si>
  <si>
    <t xml:space="preserve">Transfer from </t>
  </si>
  <si>
    <t>Transfer from MM</t>
  </si>
  <si>
    <t>Occupancy-</t>
  </si>
  <si>
    <t>Police Reports-</t>
  </si>
  <si>
    <t>Police Violations-</t>
  </si>
  <si>
    <t>Cole's Hardware</t>
  </si>
  <si>
    <t>Atty V. Rovito</t>
  </si>
  <si>
    <t>Hwy Safety Network</t>
  </si>
  <si>
    <t>Transfer FROM  LF</t>
  </si>
  <si>
    <t>Mt Carmel Auto</t>
  </si>
  <si>
    <t>Transfer to Gen</t>
  </si>
  <si>
    <t>Rogers Uniforms</t>
  </si>
  <si>
    <t>Pre</t>
  </si>
  <si>
    <t>Transfer from WW</t>
  </si>
  <si>
    <t>Loan Payment</t>
  </si>
  <si>
    <t>Transfer from LF</t>
  </si>
  <si>
    <t>Balance as of December 31, 2018</t>
  </si>
  <si>
    <t xml:space="preserve">Transfer to Payroll </t>
  </si>
  <si>
    <t>Transfer to Gen-</t>
  </si>
  <si>
    <t>News Item</t>
  </si>
  <si>
    <t>PA Waste Transfer</t>
  </si>
  <si>
    <t>Transfer to Gen-MC Auto-Coles</t>
  </si>
  <si>
    <t>Northumberland County</t>
  </si>
  <si>
    <t>A One Service</t>
  </si>
  <si>
    <t>FNB</t>
  </si>
  <si>
    <t>GHP</t>
  </si>
  <si>
    <t>Balance as of January 31, 2019</t>
  </si>
  <si>
    <t>TOTAL  JANUARY 2019 CHECKS</t>
  </si>
  <si>
    <t>Transfer to Payroll 1/11/19</t>
  </si>
  <si>
    <t>Transfer to Payroll 1/25/19</t>
  </si>
  <si>
    <t>Jan-18 Balance</t>
  </si>
  <si>
    <t>Tax Report #12</t>
  </si>
  <si>
    <t>Verizon</t>
  </si>
  <si>
    <t>WalMart</t>
  </si>
  <si>
    <t>Lowe's</t>
  </si>
  <si>
    <t>Witmer Public Safety</t>
  </si>
  <si>
    <t>AK Fishing</t>
  </si>
  <si>
    <t>Steel &amp; Metal Service</t>
  </si>
  <si>
    <t>Cintas</t>
  </si>
  <si>
    <t>Klacik &amp; Assoc</t>
  </si>
  <si>
    <t>Miller G &amp; O</t>
  </si>
  <si>
    <t>Plumbing Outlet</t>
  </si>
  <si>
    <t>Western &amp; Southern</t>
  </si>
  <si>
    <t>Tractor Supply</t>
  </si>
  <si>
    <t>Dash Medical Gloves</t>
  </si>
  <si>
    <t>Clerk of Courts</t>
  </si>
  <si>
    <t>Joint Recreation Committee</t>
  </si>
  <si>
    <t>19-01</t>
  </si>
  <si>
    <t>19-02</t>
  </si>
  <si>
    <t>19-03</t>
  </si>
  <si>
    <t>19-04</t>
  </si>
  <si>
    <t>19-05</t>
  </si>
  <si>
    <t>19-06</t>
  </si>
  <si>
    <t>19-07</t>
  </si>
  <si>
    <t>19-08</t>
  </si>
  <si>
    <t>Sebastian</t>
  </si>
  <si>
    <t>Fanella</t>
  </si>
  <si>
    <t>Stellar</t>
  </si>
  <si>
    <t>Transfer to Street Lights</t>
  </si>
  <si>
    <t>Varano Ins</t>
  </si>
  <si>
    <t>CW Sales</t>
  </si>
  <si>
    <t>S&amp;S Electric Motors</t>
  </si>
  <si>
    <t>Seda-Cog Joint Rail Authority</t>
  </si>
  <si>
    <t>Close Account</t>
  </si>
  <si>
    <t>PenTeleData</t>
  </si>
  <si>
    <t>Rolle's</t>
  </si>
  <si>
    <t>Service Electric Telephone</t>
  </si>
  <si>
    <t>Franchise Fee</t>
  </si>
  <si>
    <t>Houliston</t>
  </si>
  <si>
    <t>Close BB&amp;T Account</t>
  </si>
  <si>
    <t>Transfer to Fire Fund</t>
  </si>
  <si>
    <t>Transfer to UNB</t>
  </si>
  <si>
    <t>American Rock Salt</t>
  </si>
  <si>
    <t>Brinkash &amp; Assoc</t>
  </si>
  <si>
    <t>Transfer from General</t>
  </si>
  <si>
    <t>Transfer to LF-Brinkash &amp; Assoc</t>
  </si>
  <si>
    <t>USPS</t>
  </si>
  <si>
    <t>Void</t>
  </si>
  <si>
    <t>Transfer to LF-Brinkash</t>
  </si>
  <si>
    <t>D. Politza</t>
  </si>
  <si>
    <t>Planning 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</si>
</sst>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43" fontId="0" fillId="0" borderId="0" xfId="1" applyFont="1"/>
    <xf numFmtId="43" fontId="0" fillId="0" borderId="0" xfId="0" applyNumberFormat="1"/>
    <xf numFmtId="44" fontId="0" fillId="0" borderId="0" xfId="2" applyFont="1"/>
    <xf numFmtId="44" fontId="0" fillId="0" borderId="0" xfId="0" applyNumberFormat="1"/>
    <xf numFmtId="43" fontId="0" fillId="0" borderId="1" xfId="1" applyFont="1" applyBorder="1"/>
    <xf numFmtId="43" fontId="0" fillId="0" borderId="0" xfId="1" applyFont="1" applyBorder="1"/>
    <xf numFmtId="44" fontId="0" fillId="0" borderId="0" xfId="2" applyFont="1" applyBorder="1"/>
    <xf numFmtId="43" fontId="0" fillId="0" borderId="0" xfId="0" applyNumberFormat="1" applyBorder="1"/>
    <xf numFmtId="16" fontId="0" fillId="0" borderId="0" xfId="0" applyNumberFormat="1"/>
    <xf numFmtId="44" fontId="0" fillId="0" borderId="1" xfId="2" applyFont="1" applyBorder="1"/>
    <xf numFmtId="43" fontId="0" fillId="0" borderId="0" xfId="1" applyFont="1" applyFill="1" applyBorder="1"/>
    <xf numFmtId="0" fontId="0" fillId="0" borderId="1" xfId="0" applyBorder="1"/>
    <xf numFmtId="44" fontId="3" fillId="0" borderId="0" xfId="0" applyNumberFormat="1" applyFont="1"/>
    <xf numFmtId="0" fontId="3" fillId="0" borderId="0" xfId="0" applyFont="1"/>
    <xf numFmtId="0" fontId="0" fillId="0" borderId="0" xfId="0" applyFill="1"/>
    <xf numFmtId="14" fontId="0" fillId="0" borderId="0" xfId="2" applyNumberFormat="1" applyFont="1"/>
    <xf numFmtId="0" fontId="0" fillId="0" borderId="0" xfId="0" applyFont="1"/>
    <xf numFmtId="0" fontId="0" fillId="2" borderId="0" xfId="0" applyFill="1"/>
    <xf numFmtId="17" fontId="0" fillId="0" borderId="0" xfId="0" applyNumberFormat="1"/>
    <xf numFmtId="44" fontId="0" fillId="3" borderId="0" xfId="0" applyNumberFormat="1" applyFill="1"/>
    <xf numFmtId="44" fontId="0" fillId="3" borderId="0" xfId="2" applyFont="1" applyFill="1"/>
    <xf numFmtId="44" fontId="0" fillId="2" borderId="0" xfId="0" applyNumberFormat="1" applyFill="1"/>
    <xf numFmtId="44" fontId="1" fillId="0" borderId="0" xfId="2" applyFont="1"/>
    <xf numFmtId="44" fontId="0" fillId="0" borderId="0" xfId="2" applyFont="1" applyFill="1" applyBorder="1"/>
    <xf numFmtId="44" fontId="0" fillId="2" borderId="0" xfId="2" applyFont="1" applyFill="1"/>
    <xf numFmtId="44" fontId="0" fillId="0" borderId="0" xfId="2" applyFont="1" applyFill="1"/>
    <xf numFmtId="0" fontId="0" fillId="0" borderId="0" xfId="0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9"/>
  <sheetViews>
    <sheetView tabSelected="1" view="pageLayout" topLeftCell="A17" zoomScaleNormal="100" workbookViewId="0">
      <selection activeCell="G17" sqref="G17"/>
    </sheetView>
  </sheetViews>
  <sheetFormatPr defaultColWidth="9.140625" defaultRowHeight="15" x14ac:dyDescent="0.25"/>
  <cols>
    <col min="5" max="5" width="12" customWidth="1"/>
    <col min="6" max="6" width="12.5703125" customWidth="1"/>
    <col min="7" max="7" width="13.85546875" customWidth="1"/>
    <col min="8" max="8" width="17" hidden="1" customWidth="1"/>
    <col min="9" max="9" width="13.42578125" bestFit="1" customWidth="1"/>
  </cols>
  <sheetData>
    <row r="1" spans="1:9" x14ac:dyDescent="0.25">
      <c r="A1" s="1"/>
      <c r="I1" s="20" t="s">
        <v>120</v>
      </c>
    </row>
    <row r="2" spans="1:9" x14ac:dyDescent="0.25">
      <c r="A2" s="1" t="s">
        <v>84</v>
      </c>
      <c r="G2" s="4"/>
      <c r="H2" s="15"/>
    </row>
    <row r="3" spans="1:9" x14ac:dyDescent="0.25">
      <c r="B3" t="s">
        <v>106</v>
      </c>
      <c r="G3" s="4">
        <v>80972.850000000006</v>
      </c>
    </row>
    <row r="4" spans="1:9" x14ac:dyDescent="0.25">
      <c r="B4" t="s">
        <v>34</v>
      </c>
      <c r="C4" t="s">
        <v>39</v>
      </c>
      <c r="G4" s="4">
        <v>0</v>
      </c>
    </row>
    <row r="5" spans="1:9" x14ac:dyDescent="0.25">
      <c r="C5" t="s">
        <v>161</v>
      </c>
      <c r="G5" s="4">
        <v>0</v>
      </c>
    </row>
    <row r="6" spans="1:9" x14ac:dyDescent="0.25">
      <c r="C6" t="s">
        <v>153</v>
      </c>
      <c r="G6" s="11">
        <v>80972.850000000006</v>
      </c>
    </row>
    <row r="7" spans="1:9" x14ac:dyDescent="0.25">
      <c r="B7" t="s">
        <v>116</v>
      </c>
      <c r="G7" s="4">
        <f>+G3+G4-G5-G6</f>
        <v>0</v>
      </c>
      <c r="H7" s="14"/>
      <c r="I7" s="22">
        <v>93926.41</v>
      </c>
    </row>
    <row r="8" spans="1:9" x14ac:dyDescent="0.25">
      <c r="G8" s="4"/>
      <c r="H8" s="14"/>
      <c r="I8" s="20"/>
    </row>
    <row r="9" spans="1:9" x14ac:dyDescent="0.25">
      <c r="A9" s="1" t="s">
        <v>85</v>
      </c>
      <c r="C9" t="s">
        <v>51</v>
      </c>
      <c r="G9" s="5"/>
      <c r="H9" s="15"/>
    </row>
    <row r="10" spans="1:9" x14ac:dyDescent="0.25">
      <c r="A10" s="1"/>
      <c r="B10" t="s">
        <v>106</v>
      </c>
      <c r="G10" s="4">
        <v>1271.96</v>
      </c>
      <c r="H10" s="15"/>
    </row>
    <row r="11" spans="1:9" x14ac:dyDescent="0.25">
      <c r="A11" s="1"/>
      <c r="B11" t="s">
        <v>34</v>
      </c>
      <c r="C11" t="s">
        <v>50</v>
      </c>
      <c r="G11" s="4">
        <v>0</v>
      </c>
      <c r="H11" s="15"/>
    </row>
    <row r="12" spans="1:9" x14ac:dyDescent="0.25">
      <c r="C12" t="s">
        <v>39</v>
      </c>
      <c r="G12" s="4">
        <v>0</v>
      </c>
      <c r="H12" s="15"/>
    </row>
    <row r="13" spans="1:9" x14ac:dyDescent="0.25">
      <c r="B13" t="s">
        <v>37</v>
      </c>
      <c r="C13" t="s">
        <v>38</v>
      </c>
      <c r="D13" t="s">
        <v>65</v>
      </c>
      <c r="E13" s="19"/>
      <c r="G13" s="4">
        <v>0</v>
      </c>
      <c r="H13" s="15"/>
    </row>
    <row r="14" spans="1:9" x14ac:dyDescent="0.25">
      <c r="D14" t="s">
        <v>65</v>
      </c>
      <c r="E14" s="19"/>
      <c r="F14" s="19"/>
      <c r="G14" s="4">
        <v>0</v>
      </c>
      <c r="H14" s="15"/>
    </row>
    <row r="15" spans="1:9" x14ac:dyDescent="0.25">
      <c r="D15" t="s">
        <v>65</v>
      </c>
      <c r="G15" s="4">
        <v>0</v>
      </c>
      <c r="H15" s="15"/>
    </row>
    <row r="16" spans="1:9" x14ac:dyDescent="0.25">
      <c r="D16" t="s">
        <v>86</v>
      </c>
      <c r="G16" s="4">
        <v>0</v>
      </c>
      <c r="H16" s="15"/>
    </row>
    <row r="17" spans="2:9" x14ac:dyDescent="0.25">
      <c r="D17" t="s">
        <v>153</v>
      </c>
      <c r="G17" s="11">
        <v>1271.96</v>
      </c>
      <c r="H17" s="15"/>
    </row>
    <row r="18" spans="2:9" x14ac:dyDescent="0.25">
      <c r="B18" t="s">
        <v>116</v>
      </c>
      <c r="G18" s="4">
        <f>SUM(G10:G12)-G13-G14-G15-G17-G16</f>
        <v>0</v>
      </c>
      <c r="H18" s="14"/>
      <c r="I18" s="22">
        <v>31202.12</v>
      </c>
    </row>
    <row r="19" spans="2:9" x14ac:dyDescent="0.25">
      <c r="G19" s="4"/>
      <c r="H19" s="14"/>
      <c r="I19" s="27"/>
    </row>
    <row r="20" spans="2:9" x14ac:dyDescent="0.25">
      <c r="G20" s="4"/>
      <c r="H20" s="14"/>
      <c r="I20" s="27"/>
    </row>
    <row r="21" spans="2:9" x14ac:dyDescent="0.25">
      <c r="G21" s="4"/>
      <c r="H21" s="14"/>
      <c r="I21" s="27"/>
    </row>
    <row r="22" spans="2:9" x14ac:dyDescent="0.25">
      <c r="G22" s="4"/>
      <c r="H22" s="14"/>
      <c r="I22" s="27"/>
    </row>
    <row r="23" spans="2:9" x14ac:dyDescent="0.25">
      <c r="G23" s="4"/>
      <c r="H23" s="14"/>
      <c r="I23" s="27"/>
    </row>
    <row r="24" spans="2:9" x14ac:dyDescent="0.25">
      <c r="G24" s="4"/>
      <c r="H24" s="14"/>
      <c r="I24" s="27"/>
    </row>
    <row r="25" spans="2:9" x14ac:dyDescent="0.25">
      <c r="G25" s="4"/>
      <c r="H25" s="14"/>
      <c r="I25" s="27"/>
    </row>
    <row r="26" spans="2:9" x14ac:dyDescent="0.25">
      <c r="G26" s="4"/>
      <c r="H26" s="14"/>
      <c r="I26" s="27"/>
    </row>
    <row r="27" spans="2:9" x14ac:dyDescent="0.25">
      <c r="G27" s="4"/>
      <c r="H27" s="14"/>
      <c r="I27" s="27"/>
    </row>
    <row r="28" spans="2:9" x14ac:dyDescent="0.25">
      <c r="G28" s="4"/>
      <c r="H28" s="14"/>
      <c r="I28" s="27"/>
    </row>
    <row r="29" spans="2:9" x14ac:dyDescent="0.25">
      <c r="G29" s="4"/>
      <c r="H29" s="14"/>
      <c r="I29" s="27"/>
    </row>
    <row r="30" spans="2:9" x14ac:dyDescent="0.25">
      <c r="G30" s="4"/>
      <c r="H30" s="14"/>
      <c r="I30" s="27"/>
    </row>
    <row r="31" spans="2:9" x14ac:dyDescent="0.25">
      <c r="G31" s="4"/>
      <c r="H31" s="14"/>
      <c r="I31" s="27"/>
    </row>
    <row r="32" spans="2:9" x14ac:dyDescent="0.25">
      <c r="G32" s="4"/>
      <c r="H32" s="14"/>
      <c r="I32" s="27"/>
    </row>
    <row r="33" spans="1:9" x14ac:dyDescent="0.25">
      <c r="G33" s="4"/>
      <c r="H33" s="14"/>
      <c r="I33" s="27"/>
    </row>
    <row r="34" spans="1:9" x14ac:dyDescent="0.25">
      <c r="G34" s="4"/>
      <c r="H34" s="14"/>
      <c r="I34" s="27"/>
    </row>
    <row r="35" spans="1:9" x14ac:dyDescent="0.25">
      <c r="G35" s="4"/>
      <c r="H35" s="14"/>
      <c r="I35" s="27"/>
    </row>
    <row r="36" spans="1:9" x14ac:dyDescent="0.25">
      <c r="G36" s="4"/>
      <c r="H36" s="14"/>
      <c r="I36" s="27"/>
    </row>
    <row r="37" spans="1:9" x14ac:dyDescent="0.25">
      <c r="G37" s="4"/>
      <c r="H37" s="14"/>
      <c r="I37" s="27"/>
    </row>
    <row r="38" spans="1:9" x14ac:dyDescent="0.25">
      <c r="G38" s="4"/>
      <c r="H38" s="14"/>
      <c r="I38" s="27"/>
    </row>
    <row r="39" spans="1:9" x14ac:dyDescent="0.25">
      <c r="G39" s="4"/>
      <c r="H39" s="14"/>
      <c r="I39" s="27"/>
    </row>
    <row r="40" spans="1:9" x14ac:dyDescent="0.25">
      <c r="G40" s="4"/>
      <c r="H40" s="14"/>
      <c r="I40" s="27"/>
    </row>
    <row r="41" spans="1:9" x14ac:dyDescent="0.25">
      <c r="G41" s="4"/>
      <c r="H41" s="14"/>
      <c r="I41" s="27"/>
    </row>
    <row r="42" spans="1:9" x14ac:dyDescent="0.25">
      <c r="G42" s="4"/>
      <c r="H42" s="14"/>
      <c r="I42" s="27"/>
    </row>
    <row r="43" spans="1:9" x14ac:dyDescent="0.25">
      <c r="G43" s="4"/>
      <c r="H43" s="14"/>
      <c r="I43" s="27"/>
    </row>
    <row r="44" spans="1:9" x14ac:dyDescent="0.25">
      <c r="G44" s="4"/>
      <c r="H44" s="14"/>
      <c r="I44" s="27"/>
    </row>
    <row r="45" spans="1:9" x14ac:dyDescent="0.25">
      <c r="G45" s="4"/>
      <c r="H45" s="14"/>
      <c r="I45" s="27"/>
    </row>
    <row r="46" spans="1:9" x14ac:dyDescent="0.25">
      <c r="G46" s="4"/>
      <c r="H46" s="14"/>
      <c r="I46" s="27"/>
    </row>
    <row r="47" spans="1:9" x14ac:dyDescent="0.25">
      <c r="G47" s="4"/>
      <c r="H47" s="14"/>
      <c r="I47" s="27"/>
    </row>
    <row r="48" spans="1:9" x14ac:dyDescent="0.25">
      <c r="A48" s="1" t="s">
        <v>1</v>
      </c>
      <c r="C48" t="s">
        <v>63</v>
      </c>
      <c r="I48" s="20"/>
    </row>
    <row r="49" spans="1:8" x14ac:dyDescent="0.25">
      <c r="A49" t="s">
        <v>106</v>
      </c>
      <c r="G49" s="5">
        <v>19019.54</v>
      </c>
      <c r="H49" s="5"/>
    </row>
    <row r="50" spans="1:8" x14ac:dyDescent="0.25">
      <c r="A50" t="s">
        <v>72</v>
      </c>
      <c r="G50" s="4"/>
    </row>
    <row r="51" spans="1:8" x14ac:dyDescent="0.25">
      <c r="A51" t="s">
        <v>2</v>
      </c>
      <c r="B51" s="16" t="s">
        <v>3</v>
      </c>
      <c r="F51" s="2">
        <f>2233.26+1900+3900+4000</f>
        <v>12033.26</v>
      </c>
    </row>
    <row r="52" spans="1:8" x14ac:dyDescent="0.25">
      <c r="A52" s="1"/>
      <c r="B52" t="s">
        <v>4</v>
      </c>
      <c r="F52" s="2">
        <f>235.9+767.34</f>
        <v>1003.24</v>
      </c>
      <c r="G52" s="3"/>
    </row>
    <row r="53" spans="1:8" x14ac:dyDescent="0.25">
      <c r="B53" t="s">
        <v>6</v>
      </c>
      <c r="F53" s="2">
        <v>0</v>
      </c>
    </row>
    <row r="54" spans="1:8" x14ac:dyDescent="0.25">
      <c r="B54" t="s">
        <v>5</v>
      </c>
      <c r="F54" s="2">
        <v>379.9</v>
      </c>
    </row>
    <row r="55" spans="1:8" x14ac:dyDescent="0.25">
      <c r="B55" t="s">
        <v>7</v>
      </c>
      <c r="F55" s="2">
        <v>1450.71</v>
      </c>
      <c r="G55" s="3"/>
    </row>
    <row r="56" spans="1:8" x14ac:dyDescent="0.25">
      <c r="B56" t="s">
        <v>8</v>
      </c>
      <c r="F56" s="2">
        <f>9612.11+8.18</f>
        <v>9620.2900000000009</v>
      </c>
      <c r="G56" s="3"/>
    </row>
    <row r="57" spans="1:8" x14ac:dyDescent="0.25">
      <c r="B57" t="s">
        <v>9</v>
      </c>
      <c r="F57" s="2">
        <v>0</v>
      </c>
      <c r="G57" s="3"/>
    </row>
    <row r="58" spans="1:8" x14ac:dyDescent="0.25">
      <c r="B58" t="s">
        <v>10</v>
      </c>
      <c r="F58" s="2">
        <v>0</v>
      </c>
      <c r="G58" s="3"/>
    </row>
    <row r="59" spans="1:8" x14ac:dyDescent="0.25">
      <c r="B59" t="s">
        <v>11</v>
      </c>
      <c r="F59" s="2">
        <v>0</v>
      </c>
      <c r="G59" s="3"/>
    </row>
    <row r="60" spans="1:8" x14ac:dyDescent="0.25">
      <c r="B60" t="s">
        <v>12</v>
      </c>
      <c r="F60" s="2">
        <v>478.5</v>
      </c>
      <c r="G60" s="3"/>
    </row>
    <row r="61" spans="1:8" x14ac:dyDescent="0.25">
      <c r="B61" t="s">
        <v>13</v>
      </c>
      <c r="F61" s="2">
        <v>4592.5</v>
      </c>
      <c r="G61" s="3"/>
    </row>
    <row r="62" spans="1:8" x14ac:dyDescent="0.25">
      <c r="B62" t="s">
        <v>14</v>
      </c>
      <c r="F62" s="2">
        <v>0</v>
      </c>
      <c r="G62" s="3"/>
    </row>
    <row r="63" spans="1:8" x14ac:dyDescent="0.25">
      <c r="B63" t="s">
        <v>45</v>
      </c>
      <c r="F63" s="2">
        <v>0</v>
      </c>
    </row>
    <row r="64" spans="1:8" x14ac:dyDescent="0.25">
      <c r="B64" t="s">
        <v>15</v>
      </c>
      <c r="F64" s="6">
        <v>0</v>
      </c>
    </row>
    <row r="65" spans="1:9" x14ac:dyDescent="0.25">
      <c r="D65" t="s">
        <v>16</v>
      </c>
      <c r="G65" s="4">
        <f>SUM(F51:F64)</f>
        <v>29558.400000000001</v>
      </c>
      <c r="I65" s="5"/>
    </row>
    <row r="66" spans="1:9" x14ac:dyDescent="0.25">
      <c r="A66" s="1" t="s">
        <v>17</v>
      </c>
      <c r="B66" t="s">
        <v>18</v>
      </c>
    </row>
    <row r="67" spans="1:9" x14ac:dyDescent="0.25">
      <c r="A67" s="1"/>
      <c r="B67" s="10" t="s">
        <v>137</v>
      </c>
      <c r="C67" t="s">
        <v>145</v>
      </c>
      <c r="F67" s="12">
        <v>40</v>
      </c>
    </row>
    <row r="68" spans="1:9" x14ac:dyDescent="0.25">
      <c r="A68" s="1"/>
      <c r="B68" s="10" t="s">
        <v>138</v>
      </c>
      <c r="C68" t="s">
        <v>146</v>
      </c>
      <c r="F68" s="12">
        <v>20</v>
      </c>
    </row>
    <row r="69" spans="1:9" x14ac:dyDescent="0.25">
      <c r="B69" s="10" t="s">
        <v>139</v>
      </c>
      <c r="C69" t="s">
        <v>147</v>
      </c>
      <c r="F69" s="12">
        <v>10</v>
      </c>
    </row>
    <row r="70" spans="1:9" x14ac:dyDescent="0.25">
      <c r="B70" s="10" t="s">
        <v>140</v>
      </c>
      <c r="C70" t="s">
        <v>158</v>
      </c>
      <c r="F70" s="12">
        <v>20</v>
      </c>
    </row>
    <row r="71" spans="1:9" x14ac:dyDescent="0.25">
      <c r="B71" s="10" t="s">
        <v>141</v>
      </c>
      <c r="F71" s="12">
        <v>0</v>
      </c>
    </row>
    <row r="72" spans="1:9" x14ac:dyDescent="0.25">
      <c r="B72" s="10" t="s">
        <v>142</v>
      </c>
      <c r="F72" s="12">
        <v>0</v>
      </c>
    </row>
    <row r="73" spans="1:9" x14ac:dyDescent="0.25">
      <c r="B73" s="10" t="s">
        <v>143</v>
      </c>
      <c r="F73" s="12">
        <v>0</v>
      </c>
    </row>
    <row r="74" spans="1:9" x14ac:dyDescent="0.25">
      <c r="B74" s="10" t="s">
        <v>144</v>
      </c>
      <c r="F74" s="12">
        <v>0</v>
      </c>
    </row>
    <row r="75" spans="1:9" x14ac:dyDescent="0.25">
      <c r="B75" s="10"/>
      <c r="F75" s="12">
        <v>0</v>
      </c>
    </row>
    <row r="76" spans="1:9" x14ac:dyDescent="0.25">
      <c r="B76" s="10"/>
      <c r="F76" s="12">
        <v>0</v>
      </c>
    </row>
    <row r="77" spans="1:9" x14ac:dyDescent="0.25">
      <c r="B77" s="10"/>
      <c r="F77" s="12">
        <v>0</v>
      </c>
    </row>
    <row r="78" spans="1:9" x14ac:dyDescent="0.25">
      <c r="B78" s="10"/>
      <c r="F78" s="12">
        <v>0</v>
      </c>
    </row>
    <row r="79" spans="1:9" x14ac:dyDescent="0.25">
      <c r="B79" s="10"/>
      <c r="C79" s="18"/>
      <c r="F79" s="12">
        <v>0</v>
      </c>
    </row>
    <row r="80" spans="1:9" x14ac:dyDescent="0.25">
      <c r="B80" s="10"/>
      <c r="C80" s="18"/>
      <c r="F80" s="12">
        <v>0</v>
      </c>
    </row>
    <row r="81" spans="1:9" x14ac:dyDescent="0.25">
      <c r="B81" s="10"/>
      <c r="C81" s="18"/>
      <c r="F81" s="12">
        <v>0</v>
      </c>
    </row>
    <row r="82" spans="1:9" x14ac:dyDescent="0.25">
      <c r="B82" s="10"/>
      <c r="C82" s="18"/>
      <c r="F82" s="12">
        <v>0</v>
      </c>
    </row>
    <row r="83" spans="1:9" x14ac:dyDescent="0.25">
      <c r="B83" s="10"/>
      <c r="C83" s="18"/>
      <c r="F83" s="12">
        <v>0</v>
      </c>
    </row>
    <row r="84" spans="1:9" x14ac:dyDescent="0.25">
      <c r="B84" s="10"/>
      <c r="C84" s="18"/>
      <c r="F84" s="12">
        <v>0</v>
      </c>
      <c r="G84" s="4"/>
    </row>
    <row r="85" spans="1:9" x14ac:dyDescent="0.25">
      <c r="B85" s="10"/>
      <c r="C85" s="18"/>
      <c r="F85" s="12">
        <v>0</v>
      </c>
      <c r="G85" s="4"/>
    </row>
    <row r="86" spans="1:9" x14ac:dyDescent="0.25">
      <c r="B86" s="10"/>
      <c r="C86" s="18"/>
      <c r="F86" s="12">
        <v>0</v>
      </c>
      <c r="G86" s="4"/>
    </row>
    <row r="87" spans="1:9" x14ac:dyDescent="0.25">
      <c r="A87" t="s">
        <v>102</v>
      </c>
      <c r="B87" s="10" t="s">
        <v>137</v>
      </c>
      <c r="C87" s="18"/>
      <c r="F87" s="12">
        <v>0</v>
      </c>
      <c r="G87" s="4"/>
    </row>
    <row r="88" spans="1:9" x14ac:dyDescent="0.25">
      <c r="B88" s="10" t="s">
        <v>138</v>
      </c>
      <c r="C88" s="18"/>
      <c r="F88" s="12">
        <v>0</v>
      </c>
      <c r="G88" s="4"/>
    </row>
    <row r="89" spans="1:9" x14ac:dyDescent="0.25">
      <c r="B89" s="10"/>
      <c r="C89" s="18"/>
      <c r="F89" s="12">
        <v>0</v>
      </c>
      <c r="G89" s="4"/>
    </row>
    <row r="90" spans="1:9" x14ac:dyDescent="0.25">
      <c r="B90" s="10"/>
      <c r="C90" s="18"/>
      <c r="F90" s="12">
        <v>0</v>
      </c>
      <c r="G90" s="4"/>
    </row>
    <row r="91" spans="1:9" x14ac:dyDescent="0.25">
      <c r="B91" s="10"/>
      <c r="C91" s="18"/>
      <c r="F91" s="12">
        <v>0</v>
      </c>
      <c r="G91" s="4"/>
    </row>
    <row r="92" spans="1:9" x14ac:dyDescent="0.25">
      <c r="B92" s="10"/>
      <c r="C92" s="18"/>
      <c r="F92" s="12">
        <v>0</v>
      </c>
      <c r="G92" s="4"/>
    </row>
    <row r="93" spans="1:9" x14ac:dyDescent="0.25">
      <c r="B93" s="10"/>
      <c r="C93" s="18"/>
      <c r="F93" s="12">
        <v>0</v>
      </c>
      <c r="G93" s="4">
        <f>SUM(F67:F93)</f>
        <v>90</v>
      </c>
    </row>
    <row r="94" spans="1:9" x14ac:dyDescent="0.25">
      <c r="B94" s="10"/>
      <c r="F94" s="12"/>
      <c r="G94" s="4"/>
    </row>
    <row r="95" spans="1:9" x14ac:dyDescent="0.25">
      <c r="A95" s="13" t="s">
        <v>46</v>
      </c>
      <c r="B95" s="10" t="s">
        <v>78</v>
      </c>
      <c r="F95" s="12">
        <v>0</v>
      </c>
      <c r="G95" s="4"/>
      <c r="I95" s="20" t="s">
        <v>120</v>
      </c>
    </row>
    <row r="96" spans="1:9" x14ac:dyDescent="0.25">
      <c r="B96" t="s">
        <v>92</v>
      </c>
      <c r="F96" s="2">
        <f>25</f>
        <v>25</v>
      </c>
      <c r="G96" s="4"/>
    </row>
    <row r="97" spans="1:7" x14ac:dyDescent="0.25">
      <c r="B97" t="s">
        <v>82</v>
      </c>
      <c r="F97" s="7">
        <f>50+150</f>
        <v>200</v>
      </c>
    </row>
    <row r="98" spans="1:7" x14ac:dyDescent="0.25">
      <c r="B98" t="s">
        <v>73</v>
      </c>
      <c r="E98" s="10"/>
      <c r="F98" s="7">
        <v>0</v>
      </c>
    </row>
    <row r="99" spans="1:7" x14ac:dyDescent="0.25">
      <c r="B99" t="s">
        <v>79</v>
      </c>
      <c r="E99" s="10"/>
      <c r="F99" s="7">
        <v>0</v>
      </c>
    </row>
    <row r="100" spans="1:7" x14ac:dyDescent="0.25">
      <c r="B100" t="s">
        <v>74</v>
      </c>
      <c r="F100" s="6">
        <v>0</v>
      </c>
      <c r="G100" s="4"/>
    </row>
    <row r="101" spans="1:7" x14ac:dyDescent="0.25">
      <c r="C101" t="s">
        <v>68</v>
      </c>
      <c r="G101" s="4">
        <f>SUM(F95:F100)</f>
        <v>225</v>
      </c>
    </row>
    <row r="102" spans="1:7" x14ac:dyDescent="0.25">
      <c r="A102" s="1" t="s">
        <v>22</v>
      </c>
    </row>
    <row r="103" spans="1:7" x14ac:dyDescent="0.25">
      <c r="B103" t="s">
        <v>19</v>
      </c>
      <c r="F103" s="4">
        <v>861.63</v>
      </c>
    </row>
    <row r="104" spans="1:7" x14ac:dyDescent="0.25">
      <c r="B104" t="s">
        <v>20</v>
      </c>
      <c r="F104" s="2">
        <v>2023.8</v>
      </c>
    </row>
    <row r="105" spans="1:7" x14ac:dyDescent="0.25">
      <c r="B105" t="s">
        <v>48</v>
      </c>
      <c r="F105" s="2">
        <v>0</v>
      </c>
    </row>
    <row r="106" spans="1:7" x14ac:dyDescent="0.25">
      <c r="B106" t="s">
        <v>75</v>
      </c>
      <c r="F106" s="2">
        <v>0</v>
      </c>
    </row>
    <row r="107" spans="1:7" x14ac:dyDescent="0.25">
      <c r="B107" t="s">
        <v>93</v>
      </c>
      <c r="F107" s="2">
        <f>75+15+15</f>
        <v>105</v>
      </c>
    </row>
    <row r="108" spans="1:7" x14ac:dyDescent="0.25">
      <c r="B108" t="s">
        <v>94</v>
      </c>
      <c r="F108" s="2">
        <f>45+45+120+60+15+15+15+15</f>
        <v>330</v>
      </c>
    </row>
    <row r="109" spans="1:7" x14ac:dyDescent="0.25">
      <c r="B109" t="s">
        <v>71</v>
      </c>
      <c r="F109" s="2">
        <v>0</v>
      </c>
    </row>
    <row r="110" spans="1:7" x14ac:dyDescent="0.25">
      <c r="B110" t="s">
        <v>70</v>
      </c>
      <c r="F110" s="6">
        <v>0</v>
      </c>
    </row>
    <row r="111" spans="1:7" x14ac:dyDescent="0.25">
      <c r="C111" t="s">
        <v>21</v>
      </c>
      <c r="G111" s="4">
        <f>SUM(F103:F110)</f>
        <v>3320.43</v>
      </c>
    </row>
    <row r="112" spans="1:7" x14ac:dyDescent="0.25">
      <c r="A112" s="1" t="s">
        <v>23</v>
      </c>
    </row>
    <row r="113" spans="2:9" x14ac:dyDescent="0.25">
      <c r="B113" t="s">
        <v>24</v>
      </c>
      <c r="G113" s="2">
        <v>460.36</v>
      </c>
    </row>
    <row r="114" spans="2:9" x14ac:dyDescent="0.25">
      <c r="B114" t="s">
        <v>66</v>
      </c>
      <c r="G114" s="2">
        <f>109.98+229.01+72.45+110.12</f>
        <v>521.55999999999995</v>
      </c>
    </row>
    <row r="115" spans="2:9" x14ac:dyDescent="0.25">
      <c r="B115" t="s">
        <v>64</v>
      </c>
      <c r="G115" s="2">
        <v>1800</v>
      </c>
    </row>
    <row r="116" spans="2:9" x14ac:dyDescent="0.25">
      <c r="B116" t="s">
        <v>97</v>
      </c>
      <c r="G116" s="2">
        <v>0</v>
      </c>
    </row>
    <row r="117" spans="2:9" x14ac:dyDescent="0.25">
      <c r="B117" t="s">
        <v>157</v>
      </c>
      <c r="G117" s="2">
        <v>19219.169999999998</v>
      </c>
      <c r="I117" s="3"/>
    </row>
    <row r="118" spans="2:9" x14ac:dyDescent="0.25">
      <c r="B118" t="s">
        <v>112</v>
      </c>
      <c r="G118" s="2">
        <f>50</f>
        <v>50</v>
      </c>
      <c r="I118" s="15"/>
    </row>
    <row r="119" spans="2:9" x14ac:dyDescent="0.25">
      <c r="B119" t="s">
        <v>170</v>
      </c>
      <c r="G119" s="7">
        <v>570</v>
      </c>
    </row>
    <row r="120" spans="2:9" x14ac:dyDescent="0.25">
      <c r="G120" s="6">
        <v>0</v>
      </c>
    </row>
    <row r="121" spans="2:9" x14ac:dyDescent="0.25">
      <c r="C121" t="s">
        <v>25</v>
      </c>
      <c r="G121" s="4">
        <f>SUM(G113:G120)</f>
        <v>22621.089999999997</v>
      </c>
    </row>
    <row r="123" spans="2:9" x14ac:dyDescent="0.25">
      <c r="C123" t="s">
        <v>26</v>
      </c>
      <c r="G123" s="5">
        <f>+G65+G93+G101+G111+G121</f>
        <v>55814.92</v>
      </c>
    </row>
    <row r="124" spans="2:9" x14ac:dyDescent="0.25">
      <c r="C124" t="s">
        <v>27</v>
      </c>
      <c r="G124" s="3">
        <f>+F57</f>
        <v>0</v>
      </c>
      <c r="I124" s="3"/>
    </row>
    <row r="125" spans="2:9" x14ac:dyDescent="0.25">
      <c r="C125" t="s">
        <v>28</v>
      </c>
      <c r="G125" s="3">
        <f>+F58</f>
        <v>0</v>
      </c>
      <c r="I125" s="3"/>
    </row>
    <row r="126" spans="2:9" x14ac:dyDescent="0.25">
      <c r="C126" t="s">
        <v>29</v>
      </c>
      <c r="G126" s="9">
        <f>+F59</f>
        <v>0</v>
      </c>
      <c r="H126" s="3"/>
      <c r="I126" s="3"/>
    </row>
    <row r="127" spans="2:9" x14ac:dyDescent="0.25">
      <c r="C127" t="s">
        <v>30</v>
      </c>
      <c r="G127" s="4">
        <f>+G123-G124-G125-G126</f>
        <v>55814.92</v>
      </c>
    </row>
    <row r="129" spans="1:9" x14ac:dyDescent="0.25">
      <c r="B129" t="s">
        <v>106</v>
      </c>
      <c r="G129" s="5">
        <f>+G49</f>
        <v>19019.54</v>
      </c>
      <c r="H129" s="5"/>
      <c r="I129" s="5"/>
    </row>
    <row r="130" spans="1:9" x14ac:dyDescent="0.25">
      <c r="B130" t="s">
        <v>34</v>
      </c>
      <c r="G130" s="5">
        <f>+G127</f>
        <v>55814.92</v>
      </c>
      <c r="H130" s="5"/>
      <c r="I130" s="5"/>
    </row>
    <row r="131" spans="1:9" x14ac:dyDescent="0.25">
      <c r="B131" t="s">
        <v>98</v>
      </c>
      <c r="G131" s="4">
        <v>0</v>
      </c>
      <c r="H131" s="5"/>
      <c r="I131" s="5"/>
    </row>
    <row r="132" spans="1:9" x14ac:dyDescent="0.25">
      <c r="B132" t="s">
        <v>103</v>
      </c>
      <c r="G132" s="4">
        <v>0</v>
      </c>
      <c r="I132" s="3"/>
    </row>
    <row r="133" spans="1:9" x14ac:dyDescent="0.25">
      <c r="B133" t="s">
        <v>91</v>
      </c>
      <c r="G133" s="4">
        <v>23000</v>
      </c>
      <c r="I133" s="5"/>
    </row>
    <row r="134" spans="1:9" x14ac:dyDescent="0.25">
      <c r="B134" t="s">
        <v>105</v>
      </c>
      <c r="G134" s="4">
        <v>0</v>
      </c>
      <c r="I134" s="5"/>
    </row>
    <row r="135" spans="1:9" x14ac:dyDescent="0.25">
      <c r="B135" t="s">
        <v>80</v>
      </c>
      <c r="G135" s="4">
        <v>79.5</v>
      </c>
      <c r="I135" s="5"/>
    </row>
    <row r="136" spans="1:9" x14ac:dyDescent="0.25">
      <c r="B136" t="s">
        <v>118</v>
      </c>
      <c r="F136" s="5"/>
      <c r="G136" s="4">
        <v>0</v>
      </c>
      <c r="I136" s="5"/>
    </row>
    <row r="137" spans="1:9" x14ac:dyDescent="0.25">
      <c r="B137" t="s">
        <v>119</v>
      </c>
      <c r="G137" s="4">
        <v>20045.48</v>
      </c>
      <c r="H137" s="14"/>
      <c r="I137" s="5"/>
    </row>
    <row r="138" spans="1:9" x14ac:dyDescent="0.25">
      <c r="B138" t="s">
        <v>107</v>
      </c>
      <c r="G138" s="4">
        <v>0</v>
      </c>
      <c r="H138" s="14"/>
      <c r="I138" s="5"/>
    </row>
    <row r="139" spans="1:9" x14ac:dyDescent="0.25">
      <c r="B139" t="s">
        <v>168</v>
      </c>
      <c r="G139" s="4">
        <v>80</v>
      </c>
      <c r="H139" s="14"/>
      <c r="I139" s="5"/>
    </row>
    <row r="140" spans="1:9" x14ac:dyDescent="0.25">
      <c r="B140" t="s">
        <v>37</v>
      </c>
      <c r="F140" s="5"/>
      <c r="G140" s="11">
        <f>+G187</f>
        <v>42505.760000000009</v>
      </c>
      <c r="H140" s="5"/>
      <c r="I140" s="5"/>
    </row>
    <row r="141" spans="1:9" x14ac:dyDescent="0.25">
      <c r="B141" t="s">
        <v>116</v>
      </c>
      <c r="F141" s="5"/>
      <c r="G141" s="5">
        <f>+G129+G130+G131+G132+G133+G134-G135-G136-G139-G140-G137-G138</f>
        <v>35123.719999999987</v>
      </c>
      <c r="H141" s="5"/>
      <c r="I141" s="21">
        <f>6710.44+55923.42</f>
        <v>62633.86</v>
      </c>
    </row>
    <row r="142" spans="1:9" x14ac:dyDescent="0.25">
      <c r="A142" s="1"/>
      <c r="B142">
        <v>207</v>
      </c>
      <c r="C142" t="s">
        <v>135</v>
      </c>
      <c r="E142" s="4">
        <v>6</v>
      </c>
      <c r="G142" s="5"/>
      <c r="H142" s="5"/>
      <c r="I142" s="23"/>
    </row>
    <row r="143" spans="1:9" x14ac:dyDescent="0.25">
      <c r="A143" s="1"/>
      <c r="B143">
        <v>208</v>
      </c>
      <c r="C143" t="s">
        <v>136</v>
      </c>
      <c r="E143" s="4">
        <v>500</v>
      </c>
    </row>
    <row r="144" spans="1:9" x14ac:dyDescent="0.25">
      <c r="A144" s="1"/>
      <c r="B144">
        <v>209</v>
      </c>
      <c r="C144" t="s">
        <v>167</v>
      </c>
      <c r="E144" s="4">
        <v>0</v>
      </c>
    </row>
    <row r="145" spans="1:7" x14ac:dyDescent="0.25">
      <c r="A145" s="1"/>
      <c r="B145">
        <v>210</v>
      </c>
      <c r="C145" t="s">
        <v>136</v>
      </c>
      <c r="E145" s="4">
        <v>500</v>
      </c>
    </row>
    <row r="146" spans="1:7" x14ac:dyDescent="0.25">
      <c r="A146" s="1"/>
      <c r="B146">
        <v>211</v>
      </c>
      <c r="C146" t="s">
        <v>166</v>
      </c>
      <c r="E146" s="4">
        <v>100</v>
      </c>
    </row>
    <row r="147" spans="1:7" x14ac:dyDescent="0.25">
      <c r="B147">
        <v>212</v>
      </c>
      <c r="C147" t="s">
        <v>115</v>
      </c>
      <c r="E147" s="4">
        <v>18947.54</v>
      </c>
      <c r="G147" s="12"/>
    </row>
    <row r="148" spans="1:7" x14ac:dyDescent="0.25">
      <c r="A148" t="s">
        <v>47</v>
      </c>
      <c r="B148" t="s">
        <v>122</v>
      </c>
      <c r="E148" s="4">
        <v>2165.98</v>
      </c>
      <c r="G148" s="12"/>
    </row>
    <row r="149" spans="1:7" x14ac:dyDescent="0.25">
      <c r="B149" t="s">
        <v>101</v>
      </c>
      <c r="E149" s="4">
        <v>1120</v>
      </c>
      <c r="G149" s="12"/>
    </row>
    <row r="150" spans="1:7" x14ac:dyDescent="0.25">
      <c r="B150" t="s">
        <v>114</v>
      </c>
      <c r="E150" s="4">
        <v>1107.22</v>
      </c>
      <c r="G150" s="12"/>
    </row>
    <row r="151" spans="1:7" x14ac:dyDescent="0.25">
      <c r="B151" t="s">
        <v>123</v>
      </c>
      <c r="E151" s="4">
        <v>53.67</v>
      </c>
      <c r="G151" s="12"/>
    </row>
    <row r="152" spans="1:7" x14ac:dyDescent="0.25">
      <c r="B152" t="s">
        <v>124</v>
      </c>
      <c r="E152" s="4">
        <v>125.1</v>
      </c>
      <c r="G152" s="12"/>
    </row>
    <row r="153" spans="1:7" x14ac:dyDescent="0.25">
      <c r="B153" t="s">
        <v>125</v>
      </c>
      <c r="E153" s="24">
        <v>130</v>
      </c>
      <c r="G153" s="12"/>
    </row>
    <row r="154" spans="1:7" x14ac:dyDescent="0.25">
      <c r="B154" t="s">
        <v>109</v>
      </c>
      <c r="E154" s="24">
        <v>62.59</v>
      </c>
      <c r="G154" s="12"/>
    </row>
    <row r="155" spans="1:7" x14ac:dyDescent="0.25">
      <c r="B155" t="s">
        <v>83</v>
      </c>
      <c r="E155" s="24">
        <v>5.9</v>
      </c>
      <c r="G155" s="12"/>
    </row>
    <row r="156" spans="1:7" x14ac:dyDescent="0.25">
      <c r="B156" t="s">
        <v>95</v>
      </c>
      <c r="E156" s="8">
        <v>142.54</v>
      </c>
      <c r="G156" s="4"/>
    </row>
    <row r="157" spans="1:7" x14ac:dyDescent="0.25">
      <c r="B157" t="s">
        <v>126</v>
      </c>
      <c r="E157" s="8">
        <v>35</v>
      </c>
      <c r="G157" s="4"/>
    </row>
    <row r="158" spans="1:7" x14ac:dyDescent="0.25">
      <c r="B158" t="s">
        <v>69</v>
      </c>
      <c r="E158" s="8">
        <v>453.5</v>
      </c>
      <c r="G158" s="4"/>
    </row>
    <row r="159" spans="1:7" x14ac:dyDescent="0.25">
      <c r="B159" t="s">
        <v>125</v>
      </c>
      <c r="E159" s="8">
        <v>156</v>
      </c>
      <c r="G159" s="4"/>
    </row>
    <row r="160" spans="1:7" x14ac:dyDescent="0.25">
      <c r="B160" t="s">
        <v>127</v>
      </c>
      <c r="E160" s="8">
        <v>272.70999999999998</v>
      </c>
      <c r="G160" s="4"/>
    </row>
    <row r="161" spans="2:7" x14ac:dyDescent="0.25">
      <c r="B161" t="s">
        <v>99</v>
      </c>
      <c r="E161" s="8">
        <v>1.8</v>
      </c>
      <c r="G161" s="12"/>
    </row>
    <row r="162" spans="2:7" x14ac:dyDescent="0.25">
      <c r="B162" t="s">
        <v>128</v>
      </c>
      <c r="E162" s="8">
        <v>71.540000000000006</v>
      </c>
      <c r="G162" s="4"/>
    </row>
    <row r="163" spans="2:7" x14ac:dyDescent="0.25">
      <c r="B163" t="s">
        <v>96</v>
      </c>
      <c r="E163" s="8">
        <v>475</v>
      </c>
      <c r="G163" s="4"/>
    </row>
    <row r="164" spans="2:7" x14ac:dyDescent="0.25">
      <c r="B164" t="s">
        <v>129</v>
      </c>
      <c r="E164" s="8">
        <v>2000</v>
      </c>
      <c r="G164" s="17"/>
    </row>
    <row r="165" spans="2:7" x14ac:dyDescent="0.25">
      <c r="B165" t="s">
        <v>130</v>
      </c>
      <c r="E165" s="8">
        <v>1965.9</v>
      </c>
      <c r="G165" s="17"/>
    </row>
    <row r="166" spans="2:7" x14ac:dyDescent="0.25">
      <c r="B166" t="s">
        <v>87</v>
      </c>
      <c r="E166" s="8">
        <v>273.5</v>
      </c>
      <c r="G166" s="17"/>
    </row>
    <row r="167" spans="2:7" x14ac:dyDescent="0.25">
      <c r="B167" t="s">
        <v>131</v>
      </c>
      <c r="E167" s="8">
        <v>12.95</v>
      </c>
      <c r="G167" s="4"/>
    </row>
    <row r="168" spans="2:7" x14ac:dyDescent="0.25">
      <c r="B168" t="s">
        <v>132</v>
      </c>
      <c r="E168" s="25">
        <v>180.87</v>
      </c>
      <c r="G168" s="4"/>
    </row>
    <row r="169" spans="2:7" x14ac:dyDescent="0.25">
      <c r="B169" t="s">
        <v>133</v>
      </c>
      <c r="E169" s="25">
        <v>44.37</v>
      </c>
      <c r="G169" s="4"/>
    </row>
    <row r="170" spans="2:7" x14ac:dyDescent="0.25">
      <c r="B170" t="s">
        <v>134</v>
      </c>
      <c r="E170" s="25">
        <v>48.9</v>
      </c>
      <c r="G170" s="4"/>
    </row>
    <row r="171" spans="2:7" x14ac:dyDescent="0.25">
      <c r="B171" t="s">
        <v>115</v>
      </c>
      <c r="E171" s="25">
        <v>9473.77</v>
      </c>
      <c r="G171" s="4"/>
    </row>
    <row r="172" spans="2:7" x14ac:dyDescent="0.25">
      <c r="B172" t="s">
        <v>109</v>
      </c>
      <c r="E172" s="25">
        <v>20.79</v>
      </c>
      <c r="G172" s="4"/>
    </row>
    <row r="173" spans="2:7" x14ac:dyDescent="0.25">
      <c r="B173" t="s">
        <v>101</v>
      </c>
      <c r="E173" s="25">
        <v>165</v>
      </c>
      <c r="G173" s="4"/>
    </row>
    <row r="174" spans="2:7" x14ac:dyDescent="0.25">
      <c r="B174" t="s">
        <v>49</v>
      </c>
      <c r="E174" s="25">
        <v>42.09</v>
      </c>
      <c r="G174" s="4"/>
    </row>
    <row r="175" spans="2:7" x14ac:dyDescent="0.25">
      <c r="B175" t="s">
        <v>49</v>
      </c>
      <c r="E175" s="25">
        <v>95.3</v>
      </c>
      <c r="G175" s="4"/>
    </row>
    <row r="176" spans="2:7" x14ac:dyDescent="0.25">
      <c r="B176" t="s">
        <v>109</v>
      </c>
      <c r="E176" s="25">
        <v>115.51</v>
      </c>
      <c r="G176" s="4"/>
    </row>
    <row r="177" spans="1:9" x14ac:dyDescent="0.25">
      <c r="B177" t="s">
        <v>154</v>
      </c>
      <c r="E177" s="25">
        <v>59.95</v>
      </c>
      <c r="G177" s="4"/>
    </row>
    <row r="178" spans="1:9" x14ac:dyDescent="0.25">
      <c r="B178" t="s">
        <v>155</v>
      </c>
      <c r="E178" s="25">
        <v>1131.01</v>
      </c>
      <c r="G178" s="4"/>
    </row>
    <row r="179" spans="1:9" x14ac:dyDescent="0.25">
      <c r="B179" t="s">
        <v>156</v>
      </c>
      <c r="E179" s="25">
        <v>204.26</v>
      </c>
      <c r="G179" s="4"/>
    </row>
    <row r="180" spans="1:9" x14ac:dyDescent="0.25">
      <c r="B180" t="s">
        <v>169</v>
      </c>
      <c r="E180" s="25">
        <v>239.5</v>
      </c>
      <c r="G180" s="4"/>
    </row>
    <row r="181" spans="1:9" x14ac:dyDescent="0.25">
      <c r="E181" s="25">
        <v>0</v>
      </c>
      <c r="G181" s="4">
        <v>0</v>
      </c>
    </row>
    <row r="182" spans="1:9" x14ac:dyDescent="0.25">
      <c r="E182" s="25">
        <v>0</v>
      </c>
      <c r="G182" s="4">
        <v>0</v>
      </c>
    </row>
    <row r="183" spans="1:9" x14ac:dyDescent="0.25">
      <c r="E183" s="25">
        <v>0</v>
      </c>
      <c r="G183" s="4">
        <v>0</v>
      </c>
    </row>
    <row r="184" spans="1:9" x14ac:dyDescent="0.25">
      <c r="E184" s="25">
        <v>0</v>
      </c>
      <c r="G184" s="4"/>
    </row>
    <row r="185" spans="1:9" x14ac:dyDescent="0.25">
      <c r="E185" s="25">
        <v>0</v>
      </c>
      <c r="G185" s="4"/>
    </row>
    <row r="186" spans="1:9" x14ac:dyDescent="0.25">
      <c r="E186" s="25">
        <v>0</v>
      </c>
      <c r="G186" s="4"/>
    </row>
    <row r="187" spans="1:9" x14ac:dyDescent="0.25">
      <c r="D187" t="s">
        <v>117</v>
      </c>
      <c r="G187" s="4">
        <f>SUM(E142:E183)+G182+G183+G181+E184+E185+E186</f>
        <v>42505.760000000009</v>
      </c>
    </row>
    <row r="188" spans="1:9" x14ac:dyDescent="0.25">
      <c r="G188" s="4"/>
    </row>
    <row r="189" spans="1:9" x14ac:dyDescent="0.25">
      <c r="A189" s="1" t="s">
        <v>52</v>
      </c>
      <c r="G189" s="5"/>
      <c r="I189" s="20" t="s">
        <v>120</v>
      </c>
    </row>
    <row r="190" spans="1:9" x14ac:dyDescent="0.25">
      <c r="B190" t="s">
        <v>106</v>
      </c>
      <c r="G190" s="4">
        <v>52367.69</v>
      </c>
    </row>
    <row r="191" spans="1:9" x14ac:dyDescent="0.25">
      <c r="B191" t="s">
        <v>34</v>
      </c>
      <c r="C191" t="s">
        <v>39</v>
      </c>
      <c r="G191" s="4">
        <v>3</v>
      </c>
    </row>
    <row r="192" spans="1:9" x14ac:dyDescent="0.25">
      <c r="C192" t="s">
        <v>88</v>
      </c>
      <c r="G192" s="8">
        <v>0</v>
      </c>
    </row>
    <row r="193" spans="1:9" x14ac:dyDescent="0.25">
      <c r="B193" t="s">
        <v>37</v>
      </c>
      <c r="C193" t="s">
        <v>100</v>
      </c>
      <c r="G193" s="11">
        <v>23000</v>
      </c>
    </row>
    <row r="194" spans="1:9" x14ac:dyDescent="0.25">
      <c r="B194" t="s">
        <v>116</v>
      </c>
      <c r="G194" s="4">
        <f>+G190+G191+G192-G193</f>
        <v>29370.690000000002</v>
      </c>
      <c r="H194" s="15"/>
      <c r="I194" s="22">
        <v>43251.46</v>
      </c>
    </row>
    <row r="195" spans="1:9" x14ac:dyDescent="0.25">
      <c r="G195" s="4"/>
      <c r="H195" s="15"/>
      <c r="I195" s="26"/>
    </row>
    <row r="196" spans="1:9" x14ac:dyDescent="0.25">
      <c r="A196" s="1" t="s">
        <v>57</v>
      </c>
      <c r="G196" s="4"/>
    </row>
    <row r="197" spans="1:9" x14ac:dyDescent="0.25">
      <c r="B197" t="s">
        <v>106</v>
      </c>
      <c r="G197" s="4">
        <v>8117.75</v>
      </c>
    </row>
    <row r="198" spans="1:9" x14ac:dyDescent="0.25">
      <c r="B198" t="s">
        <v>34</v>
      </c>
      <c r="C198" t="s">
        <v>164</v>
      </c>
      <c r="G198" s="4">
        <v>80</v>
      </c>
    </row>
    <row r="199" spans="1:9" x14ac:dyDescent="0.25">
      <c r="C199" t="s">
        <v>103</v>
      </c>
      <c r="G199" s="8">
        <v>40</v>
      </c>
    </row>
    <row r="200" spans="1:9" x14ac:dyDescent="0.25">
      <c r="B200" t="s">
        <v>37</v>
      </c>
      <c r="C200">
        <v>186</v>
      </c>
      <c r="D200" t="s">
        <v>69</v>
      </c>
      <c r="G200" s="8">
        <v>125.81</v>
      </c>
    </row>
    <row r="201" spans="1:9" x14ac:dyDescent="0.25">
      <c r="C201">
        <v>187</v>
      </c>
      <c r="D201" t="s">
        <v>162</v>
      </c>
      <c r="G201" s="8">
        <v>1634.01</v>
      </c>
    </row>
    <row r="202" spans="1:9" x14ac:dyDescent="0.25">
      <c r="C202">
        <v>188</v>
      </c>
      <c r="D202" t="s">
        <v>163</v>
      </c>
      <c r="G202" s="8">
        <v>435</v>
      </c>
    </row>
    <row r="203" spans="1:9" x14ac:dyDescent="0.25">
      <c r="C203">
        <v>189</v>
      </c>
      <c r="G203" s="8">
        <v>0</v>
      </c>
    </row>
    <row r="204" spans="1:9" x14ac:dyDescent="0.25">
      <c r="C204">
        <v>190</v>
      </c>
      <c r="G204" s="8">
        <v>0</v>
      </c>
    </row>
    <row r="205" spans="1:9" x14ac:dyDescent="0.25">
      <c r="C205">
        <v>191</v>
      </c>
      <c r="G205" s="8">
        <v>0</v>
      </c>
    </row>
    <row r="206" spans="1:9" x14ac:dyDescent="0.25">
      <c r="C206">
        <v>192</v>
      </c>
      <c r="G206" s="8">
        <v>0</v>
      </c>
    </row>
    <row r="207" spans="1:9" x14ac:dyDescent="0.25">
      <c r="C207" t="s">
        <v>111</v>
      </c>
      <c r="G207" s="8">
        <v>0</v>
      </c>
    </row>
    <row r="208" spans="1:9" x14ac:dyDescent="0.25">
      <c r="C208" t="s">
        <v>118</v>
      </c>
      <c r="G208" s="8">
        <v>196.56</v>
      </c>
    </row>
    <row r="209" spans="1:9" x14ac:dyDescent="0.25">
      <c r="C209" t="s">
        <v>119</v>
      </c>
      <c r="G209" s="8">
        <v>1608.29</v>
      </c>
      <c r="I209" s="5"/>
    </row>
    <row r="210" spans="1:9" x14ac:dyDescent="0.25">
      <c r="C210" t="s">
        <v>107</v>
      </c>
      <c r="G210" s="11">
        <v>0</v>
      </c>
      <c r="I210" s="27"/>
    </row>
    <row r="211" spans="1:9" x14ac:dyDescent="0.25">
      <c r="B211" t="s">
        <v>116</v>
      </c>
      <c r="G211" s="4">
        <f>+G197+G198+G199-G200-G201-G202-G203-G204-G205-G206-G207-G208-G209-G210</f>
        <v>4238.079999999999</v>
      </c>
      <c r="H211" s="15"/>
      <c r="I211" s="21">
        <f>2118.55+552.24</f>
        <v>2670.79</v>
      </c>
    </row>
    <row r="213" spans="1:9" x14ac:dyDescent="0.25">
      <c r="A213" s="1" t="s">
        <v>56</v>
      </c>
      <c r="G213" s="4"/>
    </row>
    <row r="214" spans="1:9" x14ac:dyDescent="0.25">
      <c r="B214" t="s">
        <v>106</v>
      </c>
      <c r="G214" s="4">
        <v>55284.92</v>
      </c>
    </row>
    <row r="215" spans="1:9" x14ac:dyDescent="0.25">
      <c r="B215" t="s">
        <v>34</v>
      </c>
      <c r="C215" t="s">
        <v>39</v>
      </c>
      <c r="G215" s="4">
        <v>4.7</v>
      </c>
    </row>
    <row r="216" spans="1:9" x14ac:dyDescent="0.25">
      <c r="B216" t="s">
        <v>37</v>
      </c>
      <c r="C216" t="s">
        <v>77</v>
      </c>
      <c r="G216" s="11">
        <v>0</v>
      </c>
      <c r="H216" s="15"/>
    </row>
    <row r="217" spans="1:9" x14ac:dyDescent="0.25">
      <c r="B217" t="s">
        <v>116</v>
      </c>
      <c r="G217" s="5">
        <f>+G214+G215-G216</f>
        <v>55289.619999999995</v>
      </c>
      <c r="I217" s="22">
        <f>170770.84+65.48</f>
        <v>170836.32</v>
      </c>
    </row>
    <row r="218" spans="1:9" x14ac:dyDescent="0.25">
      <c r="G218" s="5"/>
    </row>
    <row r="219" spans="1:9" x14ac:dyDescent="0.25">
      <c r="A219" s="1" t="s">
        <v>55</v>
      </c>
      <c r="G219" s="4"/>
    </row>
    <row r="220" spans="1:9" x14ac:dyDescent="0.25">
      <c r="B220" t="s">
        <v>106</v>
      </c>
      <c r="G220" s="4">
        <v>9567.98</v>
      </c>
    </row>
    <row r="221" spans="1:9" x14ac:dyDescent="0.25">
      <c r="B221" t="s">
        <v>34</v>
      </c>
      <c r="C221" t="s">
        <v>44</v>
      </c>
      <c r="G221" s="4">
        <f>709+6255.9+6999.5+5260.5</f>
        <v>19224.900000000001</v>
      </c>
      <c r="I221" s="5"/>
    </row>
    <row r="222" spans="1:9" x14ac:dyDescent="0.25">
      <c r="C222" t="s">
        <v>91</v>
      </c>
      <c r="G222" s="4">
        <v>5001</v>
      </c>
    </row>
    <row r="223" spans="1:9" x14ac:dyDescent="0.25">
      <c r="B223" t="s">
        <v>37</v>
      </c>
      <c r="C223">
        <v>189</v>
      </c>
      <c r="D223" t="s">
        <v>69</v>
      </c>
      <c r="G223" s="8">
        <v>401.63</v>
      </c>
    </row>
    <row r="224" spans="1:9" x14ac:dyDescent="0.25">
      <c r="C224">
        <v>190</v>
      </c>
      <c r="D224" t="s">
        <v>150</v>
      </c>
      <c r="G224" s="8">
        <v>3100</v>
      </c>
    </row>
    <row r="225" spans="1:9" x14ac:dyDescent="0.25">
      <c r="C225">
        <v>191</v>
      </c>
      <c r="D225" t="s">
        <v>152</v>
      </c>
      <c r="G225" s="8">
        <v>197.5</v>
      </c>
    </row>
    <row r="226" spans="1:9" x14ac:dyDescent="0.25">
      <c r="C226">
        <v>192</v>
      </c>
      <c r="D226" t="s">
        <v>113</v>
      </c>
      <c r="G226" s="8">
        <v>11178.75</v>
      </c>
    </row>
    <row r="227" spans="1:9" x14ac:dyDescent="0.25">
      <c r="C227">
        <v>193</v>
      </c>
      <c r="D227" t="s">
        <v>151</v>
      </c>
      <c r="G227" s="8">
        <v>162.5</v>
      </c>
      <c r="I227" s="5"/>
    </row>
    <row r="228" spans="1:9" x14ac:dyDescent="0.25">
      <c r="C228">
        <v>194</v>
      </c>
      <c r="G228" s="8">
        <v>0</v>
      </c>
      <c r="I228" s="5"/>
    </row>
    <row r="229" spans="1:9" x14ac:dyDescent="0.25">
      <c r="C229">
        <v>195</v>
      </c>
      <c r="G229" s="8">
        <v>0</v>
      </c>
      <c r="I229" s="5"/>
    </row>
    <row r="230" spans="1:9" x14ac:dyDescent="0.25">
      <c r="C230">
        <v>196</v>
      </c>
      <c r="G230" s="8">
        <v>0</v>
      </c>
      <c r="I230" s="5"/>
    </row>
    <row r="231" spans="1:9" x14ac:dyDescent="0.25">
      <c r="C231" t="s">
        <v>165</v>
      </c>
      <c r="G231" s="8">
        <v>40</v>
      </c>
      <c r="I231" s="5"/>
    </row>
    <row r="232" spans="1:9" x14ac:dyDescent="0.25">
      <c r="C232" t="s">
        <v>118</v>
      </c>
      <c r="G232" s="8">
        <v>630.25</v>
      </c>
      <c r="I232" s="5"/>
    </row>
    <row r="233" spans="1:9" x14ac:dyDescent="0.25">
      <c r="C233" t="s">
        <v>119</v>
      </c>
      <c r="G233" s="8">
        <v>1041.8499999999999</v>
      </c>
      <c r="I233" s="5"/>
    </row>
    <row r="234" spans="1:9" x14ac:dyDescent="0.25">
      <c r="C234" t="s">
        <v>107</v>
      </c>
      <c r="G234" s="11">
        <v>0</v>
      </c>
      <c r="I234" s="5"/>
    </row>
    <row r="235" spans="1:9" x14ac:dyDescent="0.25">
      <c r="B235" t="s">
        <v>116</v>
      </c>
      <c r="F235" s="5"/>
      <c r="G235" s="4">
        <f>SUM(G220:G222)-G223-G224-G225-G226-G227-G228-G229-G230-G231-G232-G233-G234</f>
        <v>17041.400000000009</v>
      </c>
      <c r="H235" s="14"/>
      <c r="I235" s="21">
        <f>466+43409.78</f>
        <v>43875.78</v>
      </c>
    </row>
    <row r="236" spans="1:9" x14ac:dyDescent="0.25">
      <c r="A236" s="1" t="s">
        <v>54</v>
      </c>
      <c r="G236" s="4"/>
      <c r="I236" s="20" t="s">
        <v>120</v>
      </c>
    </row>
    <row r="237" spans="1:9" x14ac:dyDescent="0.25">
      <c r="B237" t="s">
        <v>106</v>
      </c>
      <c r="G237" s="4">
        <v>20045.580000000002</v>
      </c>
    </row>
    <row r="238" spans="1:9" x14ac:dyDescent="0.25">
      <c r="B238" t="s">
        <v>34</v>
      </c>
      <c r="C238" t="s">
        <v>39</v>
      </c>
      <c r="G238" s="4">
        <v>1.48</v>
      </c>
    </row>
    <row r="239" spans="1:9" x14ac:dyDescent="0.25">
      <c r="B239" t="s">
        <v>37</v>
      </c>
      <c r="G239" s="11">
        <f>5000+1</f>
        <v>5001</v>
      </c>
    </row>
    <row r="240" spans="1:9" x14ac:dyDescent="0.25">
      <c r="B240" t="s">
        <v>116</v>
      </c>
      <c r="G240" s="4">
        <f>SUM(G237:G238)-G239</f>
        <v>15046.060000000001</v>
      </c>
      <c r="H240" s="15"/>
      <c r="I240" s="22">
        <f>20027.24</f>
        <v>20027.240000000002</v>
      </c>
    </row>
    <row r="241" spans="1:9" x14ac:dyDescent="0.25">
      <c r="G241" s="4"/>
      <c r="H241" s="15"/>
      <c r="I241" s="26"/>
    </row>
    <row r="242" spans="1:9" x14ac:dyDescent="0.25">
      <c r="G242" s="4"/>
      <c r="H242" s="15"/>
      <c r="I242" s="27"/>
    </row>
    <row r="243" spans="1:9" x14ac:dyDescent="0.25">
      <c r="A243" s="1" t="s">
        <v>53</v>
      </c>
      <c r="G243" s="4"/>
    </row>
    <row r="244" spans="1:9" x14ac:dyDescent="0.25">
      <c r="B244" t="s">
        <v>106</v>
      </c>
      <c r="G244" s="4">
        <v>28993.53</v>
      </c>
    </row>
    <row r="245" spans="1:9" x14ac:dyDescent="0.25">
      <c r="B245" t="s">
        <v>34</v>
      </c>
      <c r="C245" t="s">
        <v>39</v>
      </c>
      <c r="G245" s="4">
        <v>2.46</v>
      </c>
    </row>
    <row r="246" spans="1:9" x14ac:dyDescent="0.25">
      <c r="G246" s="4">
        <v>0</v>
      </c>
    </row>
    <row r="247" spans="1:9" x14ac:dyDescent="0.25">
      <c r="B247" t="s">
        <v>37</v>
      </c>
      <c r="C247" t="s">
        <v>89</v>
      </c>
      <c r="G247" s="4">
        <v>0</v>
      </c>
    </row>
    <row r="248" spans="1:9" x14ac:dyDescent="0.25">
      <c r="C248">
        <v>104</v>
      </c>
      <c r="G248" s="11">
        <v>0</v>
      </c>
    </row>
    <row r="249" spans="1:9" x14ac:dyDescent="0.25">
      <c r="B249" t="s">
        <v>116</v>
      </c>
      <c r="G249" s="4">
        <f>SUM(G244+G245)-G247-G248+G246</f>
        <v>28995.989999999998</v>
      </c>
      <c r="H249" s="15"/>
      <c r="I249" s="22">
        <f>7590.54+21377.32</f>
        <v>28967.86</v>
      </c>
    </row>
    <row r="250" spans="1:9" x14ac:dyDescent="0.25">
      <c r="G250" s="4"/>
      <c r="H250" s="15"/>
      <c r="I250" s="27"/>
    </row>
    <row r="251" spans="1:9" x14ac:dyDescent="0.25">
      <c r="A251" s="1" t="s">
        <v>58</v>
      </c>
      <c r="G251" s="4"/>
    </row>
    <row r="252" spans="1:9" x14ac:dyDescent="0.25">
      <c r="B252" t="s">
        <v>106</v>
      </c>
      <c r="G252" s="4">
        <v>6983.07</v>
      </c>
    </row>
    <row r="253" spans="1:9" x14ac:dyDescent="0.25">
      <c r="B253" t="s">
        <v>34</v>
      </c>
      <c r="C253" t="s">
        <v>121</v>
      </c>
      <c r="G253" s="4">
        <f>1696.34+1.44</f>
        <v>1697.78</v>
      </c>
    </row>
    <row r="254" spans="1:9" x14ac:dyDescent="0.25">
      <c r="C254" t="s">
        <v>91</v>
      </c>
      <c r="G254" s="4">
        <v>5000</v>
      </c>
    </row>
    <row r="255" spans="1:9" x14ac:dyDescent="0.25">
      <c r="B255" t="s">
        <v>37</v>
      </c>
      <c r="C255">
        <v>129</v>
      </c>
      <c r="D255" t="s">
        <v>69</v>
      </c>
      <c r="G255" s="4">
        <v>4307.74</v>
      </c>
    </row>
    <row r="256" spans="1:9" x14ac:dyDescent="0.25">
      <c r="C256">
        <v>130</v>
      </c>
      <c r="G256" s="8">
        <v>0</v>
      </c>
    </row>
    <row r="257" spans="1:9" x14ac:dyDescent="0.25">
      <c r="C257" t="s">
        <v>118</v>
      </c>
      <c r="G257" s="8">
        <v>0</v>
      </c>
    </row>
    <row r="258" spans="1:9" x14ac:dyDescent="0.25">
      <c r="C258" t="s">
        <v>119</v>
      </c>
      <c r="G258" s="8">
        <v>58.39</v>
      </c>
    </row>
    <row r="259" spans="1:9" x14ac:dyDescent="0.25">
      <c r="C259" t="s">
        <v>107</v>
      </c>
      <c r="G259" s="11">
        <v>0</v>
      </c>
      <c r="I259" s="5"/>
    </row>
    <row r="260" spans="1:9" x14ac:dyDescent="0.25">
      <c r="B260" t="s">
        <v>116</v>
      </c>
      <c r="G260" s="4">
        <f>+G252+G253+G254-G255-G256-G257-G258-G259</f>
        <v>9314.7200000000012</v>
      </c>
      <c r="H260" s="15"/>
      <c r="I260" s="22">
        <f>1505.49+11139.2</f>
        <v>12644.69</v>
      </c>
    </row>
    <row r="261" spans="1:9" x14ac:dyDescent="0.25">
      <c r="G261" s="4"/>
      <c r="H261" s="15"/>
      <c r="I261" s="26"/>
    </row>
    <row r="262" spans="1:9" x14ac:dyDescent="0.25">
      <c r="G262" s="4"/>
      <c r="H262" s="15"/>
      <c r="I262" s="27"/>
    </row>
    <row r="263" spans="1:9" x14ac:dyDescent="0.25">
      <c r="A263" s="1" t="s">
        <v>59</v>
      </c>
      <c r="G263" s="4"/>
    </row>
    <row r="264" spans="1:9" x14ac:dyDescent="0.25">
      <c r="B264" t="s">
        <v>106</v>
      </c>
      <c r="G264" s="4">
        <v>73458.36</v>
      </c>
    </row>
    <row r="265" spans="1:9" x14ac:dyDescent="0.25">
      <c r="B265" t="s">
        <v>34</v>
      </c>
      <c r="C265" t="s">
        <v>39</v>
      </c>
      <c r="G265" s="4">
        <v>6.05</v>
      </c>
    </row>
    <row r="266" spans="1:9" x14ac:dyDescent="0.25">
      <c r="B266" t="s">
        <v>37</v>
      </c>
      <c r="C266" t="s">
        <v>148</v>
      </c>
      <c r="G266" s="11">
        <v>5000</v>
      </c>
    </row>
    <row r="267" spans="1:9" x14ac:dyDescent="0.25">
      <c r="B267" t="s">
        <v>116</v>
      </c>
      <c r="G267" s="4">
        <f>SUM(G264:G265)-G266</f>
        <v>68464.41</v>
      </c>
      <c r="H267" s="15"/>
      <c r="I267" s="22">
        <f>36139.71+25693.15</f>
        <v>61832.86</v>
      </c>
    </row>
    <row r="268" spans="1:9" x14ac:dyDescent="0.25">
      <c r="G268" s="4"/>
      <c r="H268" s="15"/>
      <c r="I268" s="26"/>
    </row>
    <row r="269" spans="1:9" x14ac:dyDescent="0.25">
      <c r="G269" s="4"/>
      <c r="H269" s="15"/>
      <c r="I269" s="26"/>
    </row>
    <row r="270" spans="1:9" x14ac:dyDescent="0.25">
      <c r="A270" s="1" t="s">
        <v>60</v>
      </c>
      <c r="G270" s="4"/>
    </row>
    <row r="271" spans="1:9" x14ac:dyDescent="0.25">
      <c r="B271" t="s">
        <v>106</v>
      </c>
      <c r="G271" s="4">
        <v>4047</v>
      </c>
    </row>
    <row r="272" spans="1:9" x14ac:dyDescent="0.25">
      <c r="B272" t="s">
        <v>34</v>
      </c>
      <c r="C272" t="s">
        <v>121</v>
      </c>
      <c r="G272" s="4">
        <f>1319.37+1.12</f>
        <v>1320.4899999999998</v>
      </c>
    </row>
    <row r="273" spans="1:9" x14ac:dyDescent="0.25">
      <c r="C273" t="s">
        <v>91</v>
      </c>
      <c r="G273" s="4">
        <v>5000</v>
      </c>
    </row>
    <row r="274" spans="1:9" x14ac:dyDescent="0.25">
      <c r="B274" t="s">
        <v>37</v>
      </c>
      <c r="C274" t="s">
        <v>65</v>
      </c>
      <c r="D274" t="s">
        <v>149</v>
      </c>
      <c r="G274" s="8">
        <v>2774</v>
      </c>
    </row>
    <row r="275" spans="1:9" x14ac:dyDescent="0.25">
      <c r="C275" t="s">
        <v>65</v>
      </c>
      <c r="D275" t="s">
        <v>49</v>
      </c>
      <c r="G275" s="8">
        <v>286</v>
      </c>
    </row>
    <row r="276" spans="1:9" x14ac:dyDescent="0.25">
      <c r="C276" t="s">
        <v>65</v>
      </c>
      <c r="D276" t="s">
        <v>49</v>
      </c>
      <c r="G276" s="8">
        <v>1738</v>
      </c>
    </row>
    <row r="277" spans="1:9" x14ac:dyDescent="0.25">
      <c r="C277">
        <v>117</v>
      </c>
      <c r="G277" s="8">
        <v>0</v>
      </c>
    </row>
    <row r="278" spans="1:9" x14ac:dyDescent="0.25">
      <c r="D278" t="s">
        <v>118</v>
      </c>
      <c r="G278" s="8">
        <v>0</v>
      </c>
    </row>
    <row r="279" spans="1:9" x14ac:dyDescent="0.25">
      <c r="D279" t="s">
        <v>119</v>
      </c>
      <c r="G279" s="8">
        <v>45.41</v>
      </c>
    </row>
    <row r="280" spans="1:9" x14ac:dyDescent="0.25">
      <c r="D280" t="s">
        <v>107</v>
      </c>
      <c r="G280" s="11">
        <v>0</v>
      </c>
      <c r="I280" s="5"/>
    </row>
    <row r="281" spans="1:9" x14ac:dyDescent="0.25">
      <c r="B281" t="s">
        <v>116</v>
      </c>
      <c r="G281" s="4">
        <f>+G271+G272+G273-G274-G275-G276-G277-G278-G279-G280</f>
        <v>5524.08</v>
      </c>
      <c r="H281" s="15"/>
      <c r="I281" s="22">
        <f>6812.73+7943.28</f>
        <v>14756.009999999998</v>
      </c>
    </row>
    <row r="282" spans="1:9" x14ac:dyDescent="0.25">
      <c r="G282" s="4"/>
      <c r="H282" s="15"/>
      <c r="I282" s="26"/>
    </row>
    <row r="283" spans="1:9" x14ac:dyDescent="0.25">
      <c r="A283" s="1" t="s">
        <v>61</v>
      </c>
      <c r="G283" s="4"/>
      <c r="I283" s="20" t="s">
        <v>120</v>
      </c>
    </row>
    <row r="284" spans="1:9" x14ac:dyDescent="0.25">
      <c r="B284" t="s">
        <v>106</v>
      </c>
      <c r="G284" s="4">
        <v>24318.11</v>
      </c>
    </row>
    <row r="285" spans="1:9" x14ac:dyDescent="0.25">
      <c r="B285" t="s">
        <v>34</v>
      </c>
      <c r="C285" t="s">
        <v>39</v>
      </c>
      <c r="G285" s="4">
        <v>1.76</v>
      </c>
    </row>
    <row r="286" spans="1:9" x14ac:dyDescent="0.25">
      <c r="B286" t="s">
        <v>37</v>
      </c>
      <c r="C286" t="s">
        <v>160</v>
      </c>
      <c r="G286" s="11">
        <v>5000</v>
      </c>
    </row>
    <row r="287" spans="1:9" x14ac:dyDescent="0.25">
      <c r="B287" t="s">
        <v>116</v>
      </c>
      <c r="G287" s="4">
        <f>SUM(G284:G285)-G286</f>
        <v>19319.87</v>
      </c>
      <c r="H287" s="15"/>
      <c r="I287" s="22">
        <f>6638.59</f>
        <v>6638.59</v>
      </c>
    </row>
    <row r="288" spans="1:9" x14ac:dyDescent="0.25">
      <c r="G288" s="4"/>
      <c r="H288" s="15"/>
    </row>
    <row r="289" spans="1:9" x14ac:dyDescent="0.25">
      <c r="A289" s="1" t="s">
        <v>62</v>
      </c>
      <c r="G289" s="4"/>
    </row>
    <row r="290" spans="1:9" x14ac:dyDescent="0.25">
      <c r="B290" t="s">
        <v>106</v>
      </c>
      <c r="G290" s="4">
        <v>1002.27</v>
      </c>
    </row>
    <row r="291" spans="1:9" x14ac:dyDescent="0.25">
      <c r="B291" t="s">
        <v>34</v>
      </c>
      <c r="C291" t="s">
        <v>39</v>
      </c>
      <c r="G291" s="4">
        <v>0.09</v>
      </c>
    </row>
    <row r="292" spans="1:9" x14ac:dyDescent="0.25">
      <c r="B292" t="s">
        <v>37</v>
      </c>
      <c r="G292" s="11">
        <v>0</v>
      </c>
    </row>
    <row r="293" spans="1:9" x14ac:dyDescent="0.25">
      <c r="B293" t="s">
        <v>116</v>
      </c>
      <c r="G293" s="4">
        <f>SUM(G290:G291)+G292</f>
        <v>1002.36</v>
      </c>
      <c r="H293" s="15"/>
      <c r="I293" s="22">
        <v>1001.33</v>
      </c>
    </row>
    <row r="294" spans="1:9" x14ac:dyDescent="0.25">
      <c r="G294" s="4"/>
      <c r="H294" s="15"/>
    </row>
    <row r="295" spans="1:9" x14ac:dyDescent="0.25">
      <c r="A295" s="13" t="s">
        <v>67</v>
      </c>
      <c r="B295" s="13"/>
    </row>
    <row r="296" spans="1:9" x14ac:dyDescent="0.25">
      <c r="B296" t="s">
        <v>106</v>
      </c>
      <c r="G296" s="4">
        <v>1892.85</v>
      </c>
    </row>
    <row r="297" spans="1:9" x14ac:dyDescent="0.25">
      <c r="B297" t="s">
        <v>34</v>
      </c>
      <c r="C297" t="s">
        <v>35</v>
      </c>
      <c r="G297" s="4">
        <f>635+657+645+435</f>
        <v>2372</v>
      </c>
      <c r="I297" s="5"/>
    </row>
    <row r="298" spans="1:9" x14ac:dyDescent="0.25">
      <c r="C298" t="s">
        <v>36</v>
      </c>
      <c r="G298" s="4">
        <f>5+95+15+15</f>
        <v>130</v>
      </c>
      <c r="I298" s="5"/>
    </row>
    <row r="299" spans="1:9" x14ac:dyDescent="0.25">
      <c r="C299" t="s">
        <v>90</v>
      </c>
      <c r="G299" s="4">
        <v>0</v>
      </c>
    </row>
    <row r="300" spans="1:9" x14ac:dyDescent="0.25">
      <c r="B300" t="s">
        <v>37</v>
      </c>
      <c r="C300">
        <v>159</v>
      </c>
      <c r="D300" t="s">
        <v>110</v>
      </c>
      <c r="G300" s="4">
        <v>679.99</v>
      </c>
    </row>
    <row r="301" spans="1:9" x14ac:dyDescent="0.25">
      <c r="C301">
        <v>160</v>
      </c>
      <c r="G301" s="4">
        <v>0</v>
      </c>
    </row>
    <row r="302" spans="1:9" x14ac:dyDescent="0.25">
      <c r="G302" s="4">
        <v>0</v>
      </c>
    </row>
    <row r="303" spans="1:9" x14ac:dyDescent="0.25">
      <c r="D303" t="s">
        <v>118</v>
      </c>
      <c r="G303" s="4">
        <v>970.63</v>
      </c>
    </row>
    <row r="304" spans="1:9" x14ac:dyDescent="0.25">
      <c r="D304" t="s">
        <v>119</v>
      </c>
      <c r="G304" s="4">
        <v>927.84</v>
      </c>
      <c r="I304" s="5"/>
    </row>
    <row r="305" spans="1:9" x14ac:dyDescent="0.25">
      <c r="D305" t="s">
        <v>107</v>
      </c>
      <c r="G305" s="4">
        <v>0</v>
      </c>
      <c r="I305" s="5"/>
    </row>
    <row r="306" spans="1:9" x14ac:dyDescent="0.25">
      <c r="D306" t="s">
        <v>108</v>
      </c>
      <c r="G306" s="11">
        <v>0</v>
      </c>
      <c r="H306" s="5"/>
      <c r="I306" s="5"/>
    </row>
    <row r="307" spans="1:9" x14ac:dyDescent="0.25">
      <c r="D307" t="s">
        <v>33</v>
      </c>
      <c r="G307" s="4">
        <f>+G300+G301+G302+G303+G304+G305+G306</f>
        <v>2578.46</v>
      </c>
    </row>
    <row r="309" spans="1:9" x14ac:dyDescent="0.25">
      <c r="B309" t="s">
        <v>116</v>
      </c>
      <c r="G309" s="5">
        <f>+G296+G297+G298+G299-G307</f>
        <v>1816.3900000000003</v>
      </c>
      <c r="H309" s="15"/>
      <c r="I309" s="22">
        <v>2268.7600000000002</v>
      </c>
    </row>
    <row r="310" spans="1:9" x14ac:dyDescent="0.25">
      <c r="G310" s="5"/>
      <c r="H310" s="15"/>
      <c r="I310" s="26"/>
    </row>
    <row r="311" spans="1:9" x14ac:dyDescent="0.25">
      <c r="A311" s="1" t="s">
        <v>76</v>
      </c>
    </row>
    <row r="312" spans="1:9" x14ac:dyDescent="0.25">
      <c r="B312" t="s">
        <v>106</v>
      </c>
      <c r="G312" s="4">
        <v>41065</v>
      </c>
    </row>
    <row r="313" spans="1:9" x14ac:dyDescent="0.25">
      <c r="B313" t="s">
        <v>34</v>
      </c>
      <c r="C313" t="s">
        <v>39</v>
      </c>
      <c r="G313" s="4">
        <v>0</v>
      </c>
    </row>
    <row r="314" spans="1:9" x14ac:dyDescent="0.25">
      <c r="G314" s="4">
        <v>0</v>
      </c>
    </row>
    <row r="315" spans="1:9" x14ac:dyDescent="0.25">
      <c r="B315" t="s">
        <v>37</v>
      </c>
      <c r="G315" s="11">
        <v>0</v>
      </c>
    </row>
    <row r="316" spans="1:9" x14ac:dyDescent="0.25">
      <c r="B316" t="s">
        <v>116</v>
      </c>
      <c r="G316" s="4">
        <f>SUM(G312:G315)</f>
        <v>41065</v>
      </c>
    </row>
    <row r="318" spans="1:9" x14ac:dyDescent="0.25">
      <c r="A318" s="1" t="s">
        <v>81</v>
      </c>
    </row>
    <row r="319" spans="1:9" x14ac:dyDescent="0.25">
      <c r="B319" t="s">
        <v>106</v>
      </c>
      <c r="G319" s="4">
        <v>32551.58</v>
      </c>
    </row>
    <row r="320" spans="1:9" x14ac:dyDescent="0.25">
      <c r="B320" t="s">
        <v>34</v>
      </c>
      <c r="C320" t="s">
        <v>39</v>
      </c>
      <c r="G320" s="4">
        <v>0</v>
      </c>
    </row>
    <row r="321" spans="2:9" x14ac:dyDescent="0.25">
      <c r="C321" t="s">
        <v>159</v>
      </c>
      <c r="G321" s="4">
        <v>80972.850000000006</v>
      </c>
    </row>
    <row r="322" spans="2:9" x14ac:dyDescent="0.25">
      <c r="C322" t="s">
        <v>121</v>
      </c>
      <c r="G322" s="4">
        <f>1507.77+1.29</f>
        <v>1509.06</v>
      </c>
    </row>
    <row r="323" spans="2:9" x14ac:dyDescent="0.25">
      <c r="B323" t="s">
        <v>37</v>
      </c>
      <c r="G323" s="4">
        <v>0</v>
      </c>
    </row>
    <row r="324" spans="2:9" x14ac:dyDescent="0.25">
      <c r="C324" t="s">
        <v>104</v>
      </c>
      <c r="G324" s="4">
        <v>0</v>
      </c>
    </row>
    <row r="325" spans="2:9" x14ac:dyDescent="0.25">
      <c r="C325" t="s">
        <v>118</v>
      </c>
      <c r="G325" s="4">
        <v>0</v>
      </c>
    </row>
    <row r="326" spans="2:9" x14ac:dyDescent="0.25">
      <c r="C326" t="s">
        <v>119</v>
      </c>
      <c r="G326" s="4">
        <v>51.9</v>
      </c>
    </row>
    <row r="327" spans="2:9" x14ac:dyDescent="0.25">
      <c r="C327" t="s">
        <v>107</v>
      </c>
      <c r="G327" s="11"/>
    </row>
    <row r="328" spans="2:9" x14ac:dyDescent="0.25">
      <c r="B328" t="s">
        <v>116</v>
      </c>
      <c r="F328" s="28"/>
      <c r="G328" s="4">
        <f>+G319+G320+G321+G322-G323-G324-G325-G326-G327</f>
        <v>114981.59000000001</v>
      </c>
      <c r="I328" s="22">
        <f>5668.58</f>
        <v>5668.58</v>
      </c>
    </row>
    <row r="329" spans="2:9" x14ac:dyDescent="0.25">
      <c r="G329" s="5"/>
    </row>
  </sheetData>
  <pageMargins left="0.7" right="0.7" top="0.75" bottom="0.75" header="0.3" footer="0.3"/>
  <pageSetup orientation="portrait" r:id="rId1"/>
  <headerFooter>
    <oddHeader xml:space="preserve">&amp;CMT CARMEL TOWNSHIP TREASURERS REPORT 
JANUARY 31, 2019 </oddHeader>
    <oddFooter>&amp;Lsubmitted by____________________&amp;RPage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/>
  </sheetViews>
  <sheetFormatPr defaultRowHeight="15" x14ac:dyDescent="0.25"/>
  <sheetData>
    <row r="1" spans="1:3" x14ac:dyDescent="0.25">
      <c r="A1" s="1" t="s">
        <v>40</v>
      </c>
      <c r="C1" t="s">
        <v>0</v>
      </c>
    </row>
    <row r="3" spans="1:3" x14ac:dyDescent="0.25">
      <c r="B3" t="s">
        <v>31</v>
      </c>
    </row>
    <row r="4" spans="1:3" x14ac:dyDescent="0.25">
      <c r="B4" t="s">
        <v>34</v>
      </c>
    </row>
    <row r="5" spans="1:3" x14ac:dyDescent="0.25">
      <c r="B5" t="s">
        <v>37</v>
      </c>
    </row>
    <row r="6" spans="1:3" x14ac:dyDescent="0.25">
      <c r="B6" t="s">
        <v>32</v>
      </c>
    </row>
    <row r="8" spans="1:3" x14ac:dyDescent="0.25">
      <c r="A8" s="1" t="s">
        <v>41</v>
      </c>
      <c r="C8" t="s">
        <v>0</v>
      </c>
    </row>
    <row r="10" spans="1:3" x14ac:dyDescent="0.25">
      <c r="B10" t="s">
        <v>31</v>
      </c>
    </row>
    <row r="11" spans="1:3" x14ac:dyDescent="0.25">
      <c r="B11" t="s">
        <v>34</v>
      </c>
    </row>
    <row r="12" spans="1:3" x14ac:dyDescent="0.25">
      <c r="B12" t="s">
        <v>37</v>
      </c>
    </row>
    <row r="13" spans="1:3" x14ac:dyDescent="0.25">
      <c r="B13" t="s">
        <v>32</v>
      </c>
    </row>
    <row r="15" spans="1:3" x14ac:dyDescent="0.25">
      <c r="A15" s="1" t="s">
        <v>42</v>
      </c>
      <c r="C15" t="s">
        <v>0</v>
      </c>
    </row>
    <row r="17" spans="1:3" x14ac:dyDescent="0.25">
      <c r="B17" t="s">
        <v>31</v>
      </c>
    </row>
    <row r="18" spans="1:3" x14ac:dyDescent="0.25">
      <c r="B18" t="s">
        <v>34</v>
      </c>
    </row>
    <row r="19" spans="1:3" x14ac:dyDescent="0.25">
      <c r="B19" t="s">
        <v>37</v>
      </c>
    </row>
    <row r="20" spans="1:3" x14ac:dyDescent="0.25">
      <c r="B20" t="s">
        <v>32</v>
      </c>
    </row>
    <row r="22" spans="1:3" x14ac:dyDescent="0.25">
      <c r="A22" s="1" t="s">
        <v>43</v>
      </c>
      <c r="C22" t="s">
        <v>0</v>
      </c>
    </row>
    <row r="24" spans="1:3" x14ac:dyDescent="0.25">
      <c r="B24" t="s">
        <v>31</v>
      </c>
    </row>
    <row r="25" spans="1:3" x14ac:dyDescent="0.25">
      <c r="B25" t="s">
        <v>34</v>
      </c>
    </row>
    <row r="26" spans="1:3" x14ac:dyDescent="0.25">
      <c r="B26" t="s">
        <v>37</v>
      </c>
    </row>
    <row r="27" spans="1:3" x14ac:dyDescent="0.25">
      <c r="B27" t="s">
        <v>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/>
  </sheetViews>
  <sheetFormatPr defaultRowHeight="15" x14ac:dyDescent="0.25"/>
  <sheetData>
    <row r="1" spans="1:1" x14ac:dyDescent="0.25">
      <c r="A1" s="1"/>
    </row>
    <row r="12" spans="1:1" x14ac:dyDescent="0.25">
      <c r="A12" s="1"/>
    </row>
    <row r="23" spans="1:1" x14ac:dyDescent="0.25">
      <c r="A23" s="1"/>
    </row>
    <row r="36" spans="1:1" x14ac:dyDescent="0.25">
      <c r="A36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Sheet6</vt:lpstr>
      <vt:lpstr>Sheet1</vt:lpstr>
      <vt:lpstr>Sheet2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Fiamoncini</dc:creator>
  <cp:lastModifiedBy>Marion Klingerman</cp:lastModifiedBy>
  <cp:lastPrinted>2019-02-12T15:38:20Z</cp:lastPrinted>
  <dcterms:created xsi:type="dcterms:W3CDTF">2011-02-09T13:32:48Z</dcterms:created>
  <dcterms:modified xsi:type="dcterms:W3CDTF">2019-03-05T15:15:38Z</dcterms:modified>
</cp:coreProperties>
</file>